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t.rivm.nl\Data4\Projecten\V050042 CB Commissies en beleidsondersteuning\2024\Implementatie NAPV\"/>
    </mc:Choice>
  </mc:AlternateContent>
  <xr:revisionPtr revIDLastSave="0" documentId="13_ncr:1_{0B58CDF0-1082-4B40-87C8-7D9A7C702841}" xr6:coauthVersionLast="47" xr6:coauthVersionMax="47" xr10:uidLastSave="{00000000-0000-0000-0000-000000000000}"/>
  <bookViews>
    <workbookView xWindow="-120" yWindow="-120" windowWidth="29040" windowHeight="15840" activeTab="1" xr2:uid="{68234AD6-C11C-4B13-9EA4-4BA32CF4E961}"/>
  </bookViews>
  <sheets>
    <sheet name="Instructies" sheetId="2" r:id="rId1"/>
    <sheet name="NAPV-too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S8" i="1"/>
  <c r="S7" i="1"/>
  <c r="S5" i="1"/>
  <c r="R13" i="1"/>
  <c r="R14" i="1"/>
  <c r="P12" i="1"/>
  <c r="P8" i="1"/>
  <c r="O43" i="1"/>
  <c r="O25" i="1"/>
  <c r="O52" i="1"/>
  <c r="O50" i="1"/>
  <c r="R5" i="1"/>
  <c r="P5" i="1"/>
  <c r="O5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Q33" i="1"/>
  <c r="Q32" i="1"/>
  <c r="P66" i="1"/>
  <c r="P62" i="1"/>
  <c r="P59" i="1"/>
  <c r="P58" i="1"/>
  <c r="P54" i="1"/>
  <c r="P53" i="1"/>
  <c r="P51" i="1"/>
  <c r="P50" i="1"/>
  <c r="P44" i="1"/>
  <c r="P43" i="1"/>
  <c r="P42" i="1"/>
  <c r="P41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54" i="1"/>
  <c r="O53" i="1"/>
  <c r="O51" i="1"/>
  <c r="O49" i="1"/>
  <c r="O48" i="1"/>
  <c r="O47" i="1"/>
  <c r="O46" i="1"/>
  <c r="O45" i="1"/>
  <c r="O44" i="1"/>
  <c r="O42" i="1"/>
  <c r="O41" i="1"/>
  <c r="O40" i="1"/>
  <c r="O39" i="1"/>
  <c r="O38" i="1"/>
  <c r="O37" i="1"/>
  <c r="O36" i="1"/>
  <c r="O35" i="1"/>
  <c r="O34" i="1"/>
  <c r="O31" i="1"/>
  <c r="O30" i="1"/>
  <c r="O29" i="1"/>
  <c r="O28" i="1"/>
  <c r="R12" i="1"/>
  <c r="P14" i="1"/>
  <c r="Q64" i="1"/>
  <c r="Q63" i="1"/>
  <c r="P26" i="1"/>
  <c r="P24" i="1"/>
  <c r="P22" i="1"/>
  <c r="O27" i="1"/>
  <c r="O26" i="1"/>
  <c r="O24" i="1"/>
  <c r="O23" i="1"/>
  <c r="O22" i="1"/>
  <c r="O21" i="1"/>
  <c r="O20" i="1"/>
  <c r="O19" i="1"/>
  <c r="O18" i="1"/>
  <c r="O17" i="1"/>
  <c r="O16" i="1"/>
  <c r="O15" i="1"/>
  <c r="R8" i="1"/>
  <c r="P11" i="1"/>
  <c r="P10" i="1"/>
  <c r="P9" i="1"/>
  <c r="O12" i="1"/>
  <c r="O11" i="1"/>
  <c r="O9" i="1"/>
  <c r="O10" i="1"/>
  <c r="O8" i="1"/>
  <c r="O7" i="1"/>
  <c r="O6" i="1"/>
</calcChain>
</file>

<file path=xl/sharedStrings.xml><?xml version="1.0" encoding="utf-8"?>
<sst xmlns="http://schemas.openxmlformats.org/spreadsheetml/2006/main" count="639" uniqueCount="237">
  <si>
    <t>Merkeigenaar</t>
  </si>
  <si>
    <t>Productnaam</t>
  </si>
  <si>
    <t>EAN</t>
  </si>
  <si>
    <t>Voedingswaarden</t>
  </si>
  <si>
    <t>Verzadigd vet (g/100 g)</t>
  </si>
  <si>
    <t>Verzadigd vet / totaal vet (%)</t>
  </si>
  <si>
    <t>Hoofdgroep</t>
  </si>
  <si>
    <t>Subgroep</t>
  </si>
  <si>
    <t>Zout</t>
  </si>
  <si>
    <t>Verzadigd vet</t>
  </si>
  <si>
    <t>Vezel</t>
  </si>
  <si>
    <t>Verzadigd vet/totaal vet</t>
  </si>
  <si>
    <t>Brood(vervangers) en ontbijtgranen</t>
  </si>
  <si>
    <t>Brood</t>
  </si>
  <si>
    <t>Bruinbrood</t>
  </si>
  <si>
    <t xml:space="preserve">	Luxe brood, naturel en zoet</t>
  </si>
  <si>
    <t>Luxe brood, hartig</t>
  </si>
  <si>
    <t xml:space="preserve">	Broodvervangers</t>
  </si>
  <si>
    <t>Bodems</t>
  </si>
  <si>
    <t>Ontbijtgranen</t>
  </si>
  <si>
    <t>x</t>
  </si>
  <si>
    <t>Suiker</t>
  </si>
  <si>
    <t>Voedingsmiddel</t>
  </si>
  <si>
    <t xml:space="preserve">Zout 
(g/100 g) </t>
  </si>
  <si>
    <t>Vezel 
(g/100 g)</t>
  </si>
  <si>
    <t>Mono- en dissachariden 
(g/100 g)</t>
  </si>
  <si>
    <t>Dit blok handmatig invullen:</t>
  </si>
  <si>
    <t>Code</t>
  </si>
  <si>
    <t>1.5.1.1.1</t>
  </si>
  <si>
    <t>1.5.1.1.1.1</t>
  </si>
  <si>
    <t>1.5.1.1.2</t>
  </si>
  <si>
    <t>1.5.1.1.3</t>
  </si>
  <si>
    <t>1.5.1.2</t>
  </si>
  <si>
    <t>1.5.1.3</t>
  </si>
  <si>
    <t>1.5.2</t>
  </si>
  <si>
    <t>Kaas</t>
  </si>
  <si>
    <t>1.6.2.1</t>
  </si>
  <si>
    <t>1.6.2.2</t>
  </si>
  <si>
    <t>1.6.2.3</t>
  </si>
  <si>
    <t>1.6.2.4</t>
  </si>
  <si>
    <t>1.6.2.5</t>
  </si>
  <si>
    <t>1.6.2.6</t>
  </si>
  <si>
    <t>1.6.2.7</t>
  </si>
  <si>
    <t xml:space="preserve">Halfharde en harde kaas (exclusief Hollandse kaas 48+)	</t>
  </si>
  <si>
    <t>Zachte kaas, snijdbaar</t>
  </si>
  <si>
    <t>Zachte kaas, smeerbaar</t>
  </si>
  <si>
    <t>Kaassubstituut</t>
  </si>
  <si>
    <t>Halfharde en harde Hollandse kaas 48+</t>
  </si>
  <si>
    <t>Smeer- en smeltkaas (exclusief light/20+)</t>
  </si>
  <si>
    <t>Smeer- en smeltkaas light/20+</t>
  </si>
  <si>
    <t>Vleesbereidingen</t>
  </si>
  <si>
    <t xml:space="preserve">	1.7.1.2.1</t>
  </si>
  <si>
    <t>Vleesbereidingen en -producten (bereid/onbereid)</t>
  </si>
  <si>
    <t>Vleeswaren en -conserven</t>
  </si>
  <si>
    <t>1.7.2.1</t>
  </si>
  <si>
    <t>1.7.2.2</t>
  </si>
  <si>
    <t>1.7.2.3</t>
  </si>
  <si>
    <t>1.7.2.4</t>
  </si>
  <si>
    <t>1.7.2.6</t>
  </si>
  <si>
    <t>Vleeswaren enkelvoudig bereid</t>
  </si>
  <si>
    <t xml:space="preserve">	Vleeswaren samengesteld bereid, rookworst en vleesconserven in opgiet</t>
  </si>
  <si>
    <t>Vleeswaren enkelvoudig rauw</t>
  </si>
  <si>
    <t>Vleeswaren samengesteld rauw</t>
  </si>
  <si>
    <t>Filet americain</t>
  </si>
  <si>
    <t>Vis</t>
  </si>
  <si>
    <t>1.7.5.2.1</t>
  </si>
  <si>
    <t>1.7.5.2.2</t>
  </si>
  <si>
    <t>1.7.5.2.3</t>
  </si>
  <si>
    <t>Vis in omhulsel</t>
  </si>
  <si>
    <t>Vis gerookt</t>
  </si>
  <si>
    <t>Vis overig (bereid/onbereid)</t>
  </si>
  <si>
    <t>Vleesvervangers</t>
  </si>
  <si>
    <t>1.7.6</t>
  </si>
  <si>
    <t>Soepen en bouillons</t>
  </si>
  <si>
    <t>2.1.1</t>
  </si>
  <si>
    <t>Soepen</t>
  </si>
  <si>
    <t>2.1.2</t>
  </si>
  <si>
    <t>Bouillons</t>
  </si>
  <si>
    <t>Sauzen</t>
  </si>
  <si>
    <t>2.2.1.1</t>
  </si>
  <si>
    <t>2.2.1.2</t>
  </si>
  <si>
    <t>2.2.2</t>
  </si>
  <si>
    <t>2.2.4</t>
  </si>
  <si>
    <t xml:space="preserve">	2.2.6</t>
  </si>
  <si>
    <t>Warme sauzen op tomaten-/groentebasis</t>
  </si>
  <si>
    <t>Koude sauzen op tomaten-/groentebasis</t>
  </si>
  <si>
    <t>Sauzen op basis van emulsie</t>
  </si>
  <si>
    <t>Pindasauzen</t>
  </si>
  <si>
    <t>Warme sauzen, overig</t>
  </si>
  <si>
    <t>Hartige snacks</t>
  </si>
  <si>
    <t>2.4.1.1.1</t>
  </si>
  <si>
    <t>2.4.1.1.2</t>
  </si>
  <si>
    <t>2.4.1.1.3</t>
  </si>
  <si>
    <t>2.4.1.1.4</t>
  </si>
  <si>
    <t>2.4.1.2</t>
  </si>
  <si>
    <t xml:space="preserve">	2.4.1.4</t>
  </si>
  <si>
    <t xml:space="preserve">	2.4.1.5</t>
  </si>
  <si>
    <t xml:space="preserve">	2.4.1.6</t>
  </si>
  <si>
    <t xml:space="preserve">	2.4.1.7</t>
  </si>
  <si>
    <t>Hartige snacks - gepaneerd ragout</t>
  </si>
  <si>
    <t>Hartige snacks - loempia</t>
  </si>
  <si>
    <t>Hartige snacks - vlees</t>
  </si>
  <si>
    <t>Hartige snacks - gefrituurd/uit de oven of bladerdeegbroodje (geen vleesbasis)</t>
  </si>
  <si>
    <t>Hartige biscuits/koekjes/crackers</t>
  </si>
  <si>
    <t>Chips (gesneden en gevormd)</t>
  </si>
  <si>
    <t>Gecoate noten</t>
  </si>
  <si>
    <t>Noten en zaden</t>
  </si>
  <si>
    <t>Hartige snacks, overig</t>
  </si>
  <si>
    <t>Banket en zoetwaren</t>
  </si>
  <si>
    <t>2.4.2.1.1</t>
  </si>
  <si>
    <t>2.4.2.1.2</t>
  </si>
  <si>
    <t>2.4.2.1.3</t>
  </si>
  <si>
    <t>2.4.2.1.4</t>
  </si>
  <si>
    <t>2.4.2.1.6</t>
  </si>
  <si>
    <t>Cakes</t>
  </si>
  <si>
    <t>Koek</t>
  </si>
  <si>
    <t>Ontbijtkoek</t>
  </si>
  <si>
    <t>Graan-, muesli-, fruit- en energierepen</t>
  </si>
  <si>
    <t>Taart en gebak</t>
  </si>
  <si>
    <t>Aardappelgerechten (stamppot, aardappelschotel,….)</t>
  </si>
  <si>
    <t>3.1.1.1.1</t>
  </si>
  <si>
    <t>3.1.1.1.2</t>
  </si>
  <si>
    <t>3.1.1.1.3</t>
  </si>
  <si>
    <t>3.1.1.1.4</t>
  </si>
  <si>
    <t>3.1.1.1.5</t>
  </si>
  <si>
    <t>Aardappelen met vleesvervanger en groente</t>
  </si>
  <si>
    <t>Aardappelen met vlees of vis en groente</t>
  </si>
  <si>
    <t>Stamppot met aardappel, groente en vlees(vervanger)</t>
  </si>
  <si>
    <t>Stamppot met aardappel en groente, zonder vlees(vervanger)</t>
  </si>
  <si>
    <t>Zuurkoolstamppotten</t>
  </si>
  <si>
    <t>Kant-en-klaarmaaltijd onderdeel</t>
  </si>
  <si>
    <t>3.1.1.2.1</t>
  </si>
  <si>
    <t>3.1.1.2.2</t>
  </si>
  <si>
    <t>3.1.1.2.3</t>
  </si>
  <si>
    <t>3.1.1.2.4</t>
  </si>
  <si>
    <t>3.1.1.2.5</t>
  </si>
  <si>
    <t>Aardappelgerecht</t>
  </si>
  <si>
    <t xml:space="preserve">	Gerecht van vlees of vleesvervanger, zonder koolhydraatcomponent</t>
  </si>
  <si>
    <t>Ragout</t>
  </si>
  <si>
    <t xml:space="preserve">	Gerecht op basis van peulvruchten</t>
  </si>
  <si>
    <t>Groentegerecht</t>
  </si>
  <si>
    <t>Rijstgerechten (risotto, nasi, couscous,...)</t>
  </si>
  <si>
    <t>3.1.1.3.1</t>
  </si>
  <si>
    <t>3.1.1.3.2</t>
  </si>
  <si>
    <t>3.1.1.3.3</t>
  </si>
  <si>
    <t>3.1.1.3.4</t>
  </si>
  <si>
    <t>Nasi- of rijst gerecht</t>
  </si>
  <si>
    <t>Currygerecht met vlees(vervanger) en saus, met rijst</t>
  </si>
  <si>
    <t>Rijstgerecht zonder bijgerecht</t>
  </si>
  <si>
    <t>Sushi</t>
  </si>
  <si>
    <t>3.1.1.3.5</t>
  </si>
  <si>
    <t>Overige graangerechten</t>
  </si>
  <si>
    <t>Pasta- en noedelgerechten</t>
  </si>
  <si>
    <t>3.1.1.4.1</t>
  </si>
  <si>
    <t>3.1.1.4.2</t>
  </si>
  <si>
    <t>3.1.1.4.3</t>
  </si>
  <si>
    <t>3.1.1.4.4</t>
  </si>
  <si>
    <t>3.1.1.4.5</t>
  </si>
  <si>
    <t>Pastagerecht met tomatensaus</t>
  </si>
  <si>
    <t xml:space="preserve">	Pastagerecht met saus (geen tomatensaus)</t>
  </si>
  <si>
    <t>Pasta- of noedelgerecht zonder bijgerecht en/of saus</t>
  </si>
  <si>
    <t>Lasagne of andere pasta-ovengerechten</t>
  </si>
  <si>
    <t>Noedelgerecht met bijgerecht en/of saus</t>
  </si>
  <si>
    <t>Pizza, wrap, roti en hartige taart</t>
  </si>
  <si>
    <t>3.1.2.1</t>
  </si>
  <si>
    <t>3.1.2.2</t>
  </si>
  <si>
    <t>3.1.2.3</t>
  </si>
  <si>
    <t>3.1.2.4</t>
  </si>
  <si>
    <t>3.1.2.5</t>
  </si>
  <si>
    <t>3.1.2.6</t>
  </si>
  <si>
    <t>3.1.2.7</t>
  </si>
  <si>
    <t>3.1.2.8</t>
  </si>
  <si>
    <t>Pizza met vlees(vervanger)</t>
  </si>
  <si>
    <t>Pizza met salami</t>
  </si>
  <si>
    <t>Pizza met ham en fruit</t>
  </si>
  <si>
    <t>Pizza met vis of schaaldieren</t>
  </si>
  <si>
    <t>Pizza met kaas en groenten</t>
  </si>
  <si>
    <t>Gevulde wrap</t>
  </si>
  <si>
    <t>Hartige taart</t>
  </si>
  <si>
    <t>Roti met kip</t>
  </si>
  <si>
    <t>Melkproducten en plantaardige vervangers</t>
  </si>
  <si>
    <t>1.6.1.3</t>
  </si>
  <si>
    <t>Pudding, mousse en desserts</t>
  </si>
  <si>
    <t>2.4.2.2.3.2</t>
  </si>
  <si>
    <t>2.4.2.2.3.3</t>
  </si>
  <si>
    <t>IJs, zuivel/plantaardig basis</t>
  </si>
  <si>
    <t>IJs, zuivel/plantaardig specialty</t>
  </si>
  <si>
    <t>Broodbeleg</t>
  </si>
  <si>
    <t>2.6.1</t>
  </si>
  <si>
    <t>2.6.5</t>
  </si>
  <si>
    <t>Broodbeleg salade</t>
  </si>
  <si>
    <t>Broodbeleg hartig, overig</t>
  </si>
  <si>
    <t>2.6.2</t>
  </si>
  <si>
    <t>2.6.3</t>
  </si>
  <si>
    <t>Broodbeleg noten</t>
  </si>
  <si>
    <t xml:space="preserve">	Broodbeleg chocolade</t>
  </si>
  <si>
    <t>Smeer- en bereidingsvetten</t>
  </si>
  <si>
    <t>1.8.1.1</t>
  </si>
  <si>
    <t>1.8.1.2</t>
  </si>
  <si>
    <t>Smeersels voor op brood</t>
  </si>
  <si>
    <t>Bereidingsvetten</t>
  </si>
  <si>
    <t>1.6.1.2</t>
  </si>
  <si>
    <t>Zuiveldranken, yoghurt, kwark en vla</t>
  </si>
  <si>
    <t>2.4.2.2.1</t>
  </si>
  <si>
    <t>2.4.2.2.2</t>
  </si>
  <si>
    <t>Chocolade</t>
  </si>
  <si>
    <t>Snoep</t>
  </si>
  <si>
    <t>2.4.2.2.3.1</t>
  </si>
  <si>
    <t>Sorbetijs</t>
  </si>
  <si>
    <t>2.4.2.2.4</t>
  </si>
  <si>
    <t>Zoete sauzen</t>
  </si>
  <si>
    <t>2.5.1.3.1</t>
  </si>
  <si>
    <t>Fris-, sport-, energiedranken en bereide siropen</t>
  </si>
  <si>
    <t>2.6.4</t>
  </si>
  <si>
    <t>Broodbeleg zoet</t>
  </si>
  <si>
    <t>Voorbeeld</t>
  </si>
  <si>
    <t>Dranken</t>
  </si>
  <si>
    <t>Instructies</t>
  </si>
  <si>
    <t xml:space="preserve">3. Voeg regels en formules toe </t>
  </si>
  <si>
    <r>
      <t>Aandachtspunten</t>
    </r>
    <r>
      <rPr>
        <sz val="11"/>
        <color theme="1"/>
        <rFont val="Calibri"/>
        <family val="2"/>
        <scheme val="minor"/>
      </rPr>
      <t>:</t>
    </r>
  </si>
  <si>
    <t>4. Kopieer producten naar het bestand</t>
  </si>
  <si>
    <t>- De voorbeeldregels zijn te gebruiken voor het invoeren van producten.</t>
  </si>
  <si>
    <t>- Controleer altijd of doortrekken van formules goed gegaan is. Verandering van formules kan leiden tot een onjuiste berekening van de treden.</t>
  </si>
  <si>
    <r>
      <t xml:space="preserve">- De eenheid van voedingswaarden is </t>
    </r>
    <r>
      <rPr>
        <b/>
        <sz val="11"/>
        <color theme="1"/>
        <rFont val="Calibri"/>
        <family val="2"/>
        <scheme val="minor"/>
      </rPr>
      <t>per 100 gram</t>
    </r>
    <r>
      <rPr>
        <sz val="11"/>
        <color theme="1"/>
        <rFont val="Calibri"/>
        <family val="2"/>
        <scheme val="minor"/>
      </rPr>
      <t xml:space="preserve"> (óf </t>
    </r>
    <r>
      <rPr>
        <b/>
        <sz val="11"/>
        <color theme="1"/>
        <rFont val="Calibri"/>
        <family val="2"/>
        <scheme val="minor"/>
      </rPr>
      <t>percentage</t>
    </r>
    <r>
      <rPr>
        <sz val="11"/>
        <color theme="1"/>
        <rFont val="Calibri"/>
        <family val="2"/>
        <scheme val="minor"/>
      </rPr>
      <t xml:space="preserve"> bij de ratio verzadigd vet t.o.v. totaal vet).</t>
    </r>
  </si>
  <si>
    <t>Link</t>
  </si>
  <si>
    <r>
      <t xml:space="preserve">- Let op afronding van voedingswaarden volgens de </t>
    </r>
    <r>
      <rPr>
        <u/>
        <sz val="11"/>
        <color rgb="FF0070C0"/>
        <rFont val="Calibri"/>
        <family val="2"/>
        <scheme val="minor"/>
      </rPr>
      <t>Europese Leidraad</t>
    </r>
    <r>
      <rPr>
        <sz val="11"/>
        <color theme="1"/>
        <rFont val="Calibri"/>
        <family val="2"/>
        <scheme val="minor"/>
      </rPr>
      <t>.</t>
    </r>
  </si>
  <si>
    <r>
      <t xml:space="preserve">Bepaal voor ieder afzonderlijk product de NAPV-voedingsmiddelengroep (hoofd- en subgroep). Maak hierbij gebruik van de </t>
    </r>
    <r>
      <rPr>
        <sz val="11"/>
        <color rgb="FF0070C0"/>
        <rFont val="Calibri"/>
        <family val="2"/>
        <scheme val="minor"/>
      </rPr>
      <t>definities van voedingsmiddelengroepen</t>
    </r>
    <r>
      <rPr>
        <sz val="11"/>
        <color theme="1"/>
        <rFont val="Calibri"/>
        <family val="2"/>
        <scheme val="minor"/>
      </rPr>
      <t xml:space="preserve"> zoals opgesteld door het RIVM. Het </t>
    </r>
    <r>
      <rPr>
        <sz val="11"/>
        <color rgb="FF7030A0"/>
        <rFont val="Calibri"/>
        <family val="2"/>
        <scheme val="minor"/>
      </rPr>
      <t>fabrikantenportaal van de Levensmiddelendatabank</t>
    </r>
    <r>
      <rPr>
        <sz val="11"/>
        <color theme="1"/>
        <rFont val="Calibri"/>
        <family val="2"/>
        <scheme val="minor"/>
      </rPr>
      <t xml:space="preserve"> bevat de conceptindeling voor een toenemend aantal producten.</t>
    </r>
  </si>
  <si>
    <t>1. Bepaal de NAPV-voedingsmiddelengroep (buiten de rekentool)</t>
  </si>
  <si>
    <t>2. Sorteer de lijst (buiten de rekentool)</t>
  </si>
  <si>
    <r>
      <rPr>
        <u/>
        <sz val="11"/>
        <color theme="1"/>
        <rFont val="Calibri"/>
        <family val="2"/>
        <scheme val="minor"/>
      </rPr>
      <t>Aandachtspunt</t>
    </r>
    <r>
      <rPr>
        <sz val="11"/>
        <color theme="1"/>
        <rFont val="Calibri"/>
        <family val="2"/>
        <scheme val="minor"/>
      </rPr>
      <t xml:space="preserve">: </t>
    </r>
  </si>
  <si>
    <t xml:space="preserve">- Deze stap vindt buiten de rekentool plaats. </t>
  </si>
  <si>
    <t>Sorteer jouw lijst met producten op NAPV-subgroepcode (bijvoorbeeld 1.5.1.1.1 voor ‘Brood’). Bereken vervolgens het aantal producten per subgroep.</t>
  </si>
  <si>
    <t>NAPV-treden</t>
  </si>
  <si>
    <t xml:space="preserve">In dit blok de formules doortrekken: </t>
  </si>
  <si>
    <t>Voeg, afhankelijk van de aantallen producten, regels toe aan het bestand onder de voorbeeldregels van de betreffende NAPV-subgroepen. Selecteer daarna per subgroep de cellen in de voorbeeldregel waarin de NAPV-treden staan weergegeven (kolommen O t/m S (zout, verzadigd vet, verzadigd vet/totaal vet, suiker, vezel)). Trek de formules door naar de lege regels onder de voorbeeldregels.</t>
  </si>
  <si>
    <t>Kopieer jouw lijst met productinformatie naar het bestand (kolommen F t/m M). Bij ieder product verschijnt automatisch per voedingsstof de NAPV-trede (trede 1: groen, trede 2: geel, trede 3: oranje, trede 4: donkerroze). Een ‘x’ in het bestand betekent dat er geen grenswaarden zijn opgesteld voor de betreffende combinatie van NAPV-subgroep en voedingsstof.</t>
  </si>
  <si>
    <t>- Trede en kleur worden pas weergegeven zodra voedingswaarden zijn ingevuld. Voor het vezelgehalte zijn de kleuren omgekeerd: trede 1 (lager vezelgehalte) is donkerroze, trede 2 is oranje, trede 3 is geel, trede 4 is groen (hoger vezelgehalte)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</si>
</sst>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6" xfId="0" applyFont="1" applyBorder="1"/>
    <xf numFmtId="0" fontId="4" fillId="0" borderId="12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0" borderId="14" xfId="0" applyFont="1" applyBorder="1"/>
    <xf numFmtId="0" fontId="5" fillId="0" borderId="8" xfId="0" applyFont="1" applyBorder="1"/>
    <xf numFmtId="0" fontId="5" fillId="0" borderId="16" xfId="0" applyFont="1" applyBorder="1"/>
    <xf numFmtId="0" fontId="5" fillId="0" borderId="4" xfId="0" applyFont="1" applyBorder="1"/>
    <xf numFmtId="0" fontId="4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9" xfId="0" applyFont="1" applyBorder="1"/>
    <xf numFmtId="0" fontId="2" fillId="0" borderId="24" xfId="0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2" xfId="0" applyFont="1" applyBorder="1"/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25" xfId="0" applyFont="1" applyBorder="1"/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4" xfId="0" applyFont="1" applyBorder="1"/>
    <xf numFmtId="0" fontId="5" fillId="0" borderId="32" xfId="0" applyFont="1" applyBorder="1"/>
    <xf numFmtId="0" fontId="5" fillId="0" borderId="6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2" borderId="0" xfId="0" applyFill="1" applyBorder="1"/>
    <xf numFmtId="0" fontId="0" fillId="0" borderId="0" xfId="0" applyAlignment="1">
      <alignment wrapText="1"/>
    </xf>
    <xf numFmtId="0" fontId="11" fillId="2" borderId="0" xfId="1" applyFont="1" applyFill="1" applyBorder="1"/>
    <xf numFmtId="0" fontId="9" fillId="2" borderId="0" xfId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0" fillId="2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35" xfId="0" applyFill="1" applyBorder="1" applyAlignment="1">
      <alignment wrapText="1"/>
    </xf>
    <xf numFmtId="0" fontId="0" fillId="2" borderId="36" xfId="0" applyFill="1" applyBorder="1"/>
    <xf numFmtId="0" fontId="7" fillId="2" borderId="35" xfId="0" applyFont="1" applyFill="1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14" fillId="2" borderId="36" xfId="1" applyFont="1" applyFill="1" applyBorder="1"/>
    <xf numFmtId="0" fontId="8" fillId="2" borderId="35" xfId="0" applyFont="1" applyFill="1" applyBorder="1" applyAlignment="1">
      <alignment vertical="center" wrapText="1"/>
    </xf>
    <xf numFmtId="0" fontId="0" fillId="2" borderId="35" xfId="0" quotePrefix="1" applyFill="1" applyBorder="1" applyAlignment="1">
      <alignment horizontal="left" vertical="top" wrapText="1"/>
    </xf>
    <xf numFmtId="0" fontId="0" fillId="2" borderId="35" xfId="0" quotePrefix="1" applyFill="1" applyBorder="1" applyAlignment="1">
      <alignment horizontal="left" vertical="center" wrapText="1"/>
    </xf>
    <xf numFmtId="0" fontId="0" fillId="0" borderId="35" xfId="0" quotePrefix="1" applyFill="1" applyBorder="1"/>
    <xf numFmtId="0" fontId="0" fillId="2" borderId="37" xfId="0" applyFill="1" applyBorder="1" applyAlignment="1">
      <alignment wrapText="1"/>
    </xf>
    <xf numFmtId="0" fontId="0" fillId="2" borderId="38" xfId="0" applyFill="1" applyBorder="1"/>
    <xf numFmtId="0" fontId="0" fillId="2" borderId="39" xfId="0" applyFill="1" applyBorder="1"/>
    <xf numFmtId="0" fontId="0" fillId="2" borderId="35" xfId="0" applyFont="1" applyFill="1" applyBorder="1" applyAlignment="1">
      <alignment vertical="center" wrapText="1"/>
    </xf>
    <xf numFmtId="0" fontId="0" fillId="2" borderId="35" xfId="0" quotePrefix="1" applyFill="1" applyBorder="1" applyAlignment="1">
      <alignment vertical="center" wrapText="1"/>
    </xf>
    <xf numFmtId="0" fontId="4" fillId="0" borderId="13" xfId="0" applyFont="1" applyBorder="1"/>
    <xf numFmtId="0" fontId="2" fillId="0" borderId="17" xfId="0" applyFont="1" applyBorder="1"/>
    <xf numFmtId="0" fontId="2" fillId="0" borderId="20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33" xfId="0" applyFont="1" applyBorder="1"/>
    <xf numFmtId="0" fontId="2" fillId="0" borderId="11" xfId="0" applyFont="1" applyBorder="1"/>
    <xf numFmtId="0" fontId="2" fillId="0" borderId="13" xfId="0" applyFont="1" applyBorder="1"/>
    <xf numFmtId="0" fontId="4" fillId="0" borderId="12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5" fillId="0" borderId="21" xfId="0" applyFont="1" applyBorder="1"/>
    <xf numFmtId="0" fontId="5" fillId="0" borderId="5" xfId="0" applyFont="1" applyBorder="1"/>
    <xf numFmtId="0" fontId="2" fillId="0" borderId="40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8" xfId="0" applyFont="1" applyBorder="1"/>
    <xf numFmtId="0" fontId="5" fillId="0" borderId="30" xfId="0" applyFont="1" applyBorder="1"/>
    <xf numFmtId="0" fontId="5" fillId="0" borderId="12" xfId="0" applyFont="1" applyBorder="1"/>
    <xf numFmtId="0" fontId="5" fillId="0" borderId="7" xfId="0" applyFont="1" applyBorder="1"/>
    <xf numFmtId="164" fontId="5" fillId="0" borderId="5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0" fontId="4" fillId="0" borderId="35" xfId="0" applyFont="1" applyBorder="1"/>
    <xf numFmtId="0" fontId="4" fillId="0" borderId="0" xfId="0" applyFont="1" applyBorder="1"/>
    <xf numFmtId="0" fontId="4" fillId="3" borderId="41" xfId="0" applyFont="1" applyFill="1" applyBorder="1"/>
    <xf numFmtId="0" fontId="4" fillId="3" borderId="42" xfId="0" applyFont="1" applyFill="1" applyBorder="1"/>
    <xf numFmtId="0" fontId="4" fillId="3" borderId="43" xfId="0" applyFont="1" applyFill="1" applyBorder="1"/>
    <xf numFmtId="2" fontId="4" fillId="3" borderId="42" xfId="0" applyNumberFormat="1" applyFont="1" applyFill="1" applyBorder="1" applyAlignment="1">
      <alignment horizontal="center" wrapText="1"/>
    </xf>
    <xf numFmtId="164" fontId="4" fillId="3" borderId="42" xfId="0" applyNumberFormat="1" applyFont="1" applyFill="1" applyBorder="1" applyAlignment="1">
      <alignment horizontal="center" wrapText="1"/>
    </xf>
    <xf numFmtId="1" fontId="4" fillId="3" borderId="42" xfId="0" applyNumberFormat="1" applyFont="1" applyFill="1" applyBorder="1" applyAlignment="1">
      <alignment horizontal="center" wrapText="1"/>
    </xf>
    <xf numFmtId="164" fontId="4" fillId="3" borderId="43" xfId="0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2">
    <dxf>
      <fill>
        <patternFill>
          <bgColor rgb="FFA90061"/>
        </patternFill>
      </fill>
    </dxf>
    <dxf>
      <fill>
        <patternFill>
          <bgColor rgb="FFF9E11E"/>
        </patternFill>
      </fill>
    </dxf>
    <dxf>
      <fill>
        <patternFill>
          <bgColor rgb="FFE17000"/>
        </patternFill>
      </fill>
    </dxf>
    <dxf>
      <fill>
        <patternFill>
          <bgColor rgb="FF76D2B6"/>
        </patternFill>
      </fill>
    </dxf>
    <dxf>
      <fill>
        <patternFill>
          <bgColor rgb="FFA90061"/>
        </patternFill>
      </fill>
    </dxf>
    <dxf>
      <fill>
        <patternFill>
          <bgColor rgb="FFE17000"/>
        </patternFill>
      </fill>
    </dxf>
    <dxf>
      <fill>
        <patternFill>
          <bgColor rgb="FFF9E11E"/>
        </patternFill>
      </fill>
    </dxf>
    <dxf>
      <fill>
        <patternFill>
          <bgColor rgb="FF76D2B6"/>
        </patternFill>
      </fill>
    </dxf>
    <dxf>
      <fill>
        <patternFill>
          <bgColor rgb="FFA90061"/>
        </patternFill>
      </fill>
    </dxf>
    <dxf>
      <fill>
        <patternFill>
          <bgColor rgb="FFF9E11E"/>
        </patternFill>
      </fill>
    </dxf>
    <dxf>
      <fill>
        <patternFill>
          <bgColor rgb="FF76D2B6"/>
        </patternFill>
      </fill>
    </dxf>
    <dxf>
      <fill>
        <patternFill>
          <bgColor rgb="FFE17000"/>
        </patternFill>
      </fill>
    </dxf>
  </dxfs>
  <tableStyles count="0" defaultTableStyle="TableStyleMedium2" defaultPivotStyle="PivotStyleLight16"/>
  <colors>
    <mruColors>
      <color rgb="FFA90061"/>
      <color rgb="FFF9E11E"/>
      <color rgb="FFE17000"/>
      <color rgb="FF76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oedingscentrum.nl/professionals/productaanbod-en-levensmiddelendatabank.aspx" TargetMode="External"/><Relationship Id="rId2" Type="http://schemas.openxmlformats.org/officeDocument/2006/relationships/hyperlink" Target="https://www.rivm.nl/documenten/overzicht-definities-en-voorbeelden-van-voedingsmiddelengroepen" TargetMode="External"/><Relationship Id="rId1" Type="http://schemas.openxmlformats.org/officeDocument/2006/relationships/hyperlink" Target="https://www.nvwa.nl/documenten/consument/eten-drinken-roken/etikettering/publicaties/handboek-etikettering-van-levensmiddelen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7A61-A890-4A38-8569-B951A1AEA8E8}">
  <dimension ref="A1:I29"/>
  <sheetViews>
    <sheetView workbookViewId="0">
      <selection activeCell="A29" sqref="A29"/>
    </sheetView>
  </sheetViews>
  <sheetFormatPr defaultRowHeight="15" x14ac:dyDescent="0.25"/>
  <cols>
    <col min="1" max="1" width="96.140625" style="52" customWidth="1"/>
  </cols>
  <sheetData>
    <row r="1" spans="1:9" ht="18.75" x14ac:dyDescent="0.3">
      <c r="A1" s="57" t="s">
        <v>217</v>
      </c>
      <c r="B1" s="58"/>
      <c r="C1" s="59"/>
      <c r="D1" s="55"/>
      <c r="E1" s="55"/>
      <c r="F1" s="55"/>
      <c r="G1" s="55"/>
      <c r="H1" s="55"/>
      <c r="I1" s="55"/>
    </row>
    <row r="2" spans="1:9" x14ac:dyDescent="0.25">
      <c r="A2" s="60"/>
      <c r="B2" s="51"/>
      <c r="C2" s="61"/>
      <c r="D2" s="55"/>
      <c r="E2" s="55"/>
      <c r="F2" s="55"/>
      <c r="G2" s="55"/>
      <c r="H2" s="55"/>
      <c r="I2" s="55"/>
    </row>
    <row r="3" spans="1:9" x14ac:dyDescent="0.25">
      <c r="A3" s="62" t="s">
        <v>227</v>
      </c>
      <c r="B3" s="51"/>
      <c r="C3" s="61"/>
      <c r="D3" s="55"/>
      <c r="E3" s="55"/>
      <c r="F3" s="55"/>
      <c r="G3" s="55"/>
      <c r="H3" s="55"/>
      <c r="I3" s="55"/>
    </row>
    <row r="4" spans="1:9" ht="60" x14ac:dyDescent="0.25">
      <c r="A4" s="63" t="s">
        <v>226</v>
      </c>
      <c r="B4" s="54" t="s">
        <v>224</v>
      </c>
      <c r="C4" s="64" t="s">
        <v>224</v>
      </c>
      <c r="D4" s="55"/>
      <c r="E4" s="55"/>
      <c r="F4" s="55"/>
      <c r="G4" s="55"/>
      <c r="H4" s="55"/>
      <c r="I4" s="55"/>
    </row>
    <row r="5" spans="1:9" x14ac:dyDescent="0.25">
      <c r="A5" s="63"/>
      <c r="B5" s="54"/>
      <c r="C5" s="64"/>
      <c r="D5" s="55"/>
      <c r="E5" s="55"/>
      <c r="F5" s="55"/>
      <c r="G5" s="55"/>
      <c r="H5" s="55"/>
      <c r="I5" s="55"/>
    </row>
    <row r="6" spans="1:9" x14ac:dyDescent="0.25">
      <c r="A6" s="72" t="s">
        <v>229</v>
      </c>
      <c r="B6" s="54"/>
      <c r="C6" s="64"/>
      <c r="D6" s="55"/>
      <c r="E6" s="55"/>
      <c r="F6" s="55"/>
      <c r="G6" s="55"/>
      <c r="H6" s="55"/>
      <c r="I6" s="55"/>
    </row>
    <row r="7" spans="1:9" x14ac:dyDescent="0.25">
      <c r="A7" s="73" t="s">
        <v>230</v>
      </c>
      <c r="B7" s="54"/>
      <c r="C7" s="64"/>
      <c r="D7" s="55"/>
      <c r="E7" s="55"/>
      <c r="F7" s="55"/>
      <c r="G7" s="55"/>
      <c r="H7" s="55"/>
      <c r="I7" s="55"/>
    </row>
    <row r="8" spans="1:9" x14ac:dyDescent="0.25">
      <c r="A8" s="63"/>
      <c r="B8" s="51"/>
      <c r="C8" s="61"/>
      <c r="D8" s="55"/>
      <c r="E8" s="55"/>
      <c r="F8" s="55"/>
      <c r="G8" s="55"/>
      <c r="H8" s="55"/>
      <c r="I8" s="55"/>
    </row>
    <row r="9" spans="1:9" x14ac:dyDescent="0.25">
      <c r="A9" s="62" t="s">
        <v>228</v>
      </c>
      <c r="B9" s="51"/>
      <c r="C9" s="61"/>
      <c r="D9" s="55"/>
      <c r="E9" s="55"/>
      <c r="F9" s="55"/>
      <c r="G9" s="55"/>
      <c r="H9" s="55"/>
      <c r="I9" s="55"/>
    </row>
    <row r="10" spans="1:9" ht="30" x14ac:dyDescent="0.25">
      <c r="A10" s="63" t="s">
        <v>231</v>
      </c>
      <c r="B10" s="51"/>
      <c r="C10" s="61"/>
      <c r="D10" s="55"/>
      <c r="E10" s="55"/>
      <c r="F10" s="55"/>
      <c r="G10" s="55"/>
      <c r="H10" s="55"/>
      <c r="I10" s="55"/>
    </row>
    <row r="11" spans="1:9" x14ac:dyDescent="0.25">
      <c r="A11" s="63"/>
      <c r="B11" s="51"/>
      <c r="C11" s="61"/>
      <c r="D11" s="55"/>
      <c r="E11" s="55"/>
      <c r="F11" s="55"/>
      <c r="G11" s="55"/>
      <c r="H11" s="55"/>
      <c r="I11" s="55"/>
    </row>
    <row r="12" spans="1:9" x14ac:dyDescent="0.25">
      <c r="A12" s="72" t="s">
        <v>229</v>
      </c>
      <c r="B12" s="51"/>
      <c r="C12" s="61"/>
      <c r="D12" s="55"/>
      <c r="E12" s="55"/>
      <c r="F12" s="55"/>
      <c r="G12" s="55"/>
      <c r="H12" s="55"/>
      <c r="I12" s="55"/>
    </row>
    <row r="13" spans="1:9" x14ac:dyDescent="0.25">
      <c r="A13" s="73" t="s">
        <v>230</v>
      </c>
      <c r="B13" s="51"/>
      <c r="C13" s="61"/>
      <c r="D13" s="55"/>
      <c r="E13" s="55"/>
      <c r="F13" s="55"/>
      <c r="G13" s="55"/>
      <c r="H13" s="55"/>
      <c r="I13" s="55"/>
    </row>
    <row r="14" spans="1:9" x14ac:dyDescent="0.25">
      <c r="A14" s="63"/>
      <c r="B14" s="51"/>
      <c r="C14" s="61"/>
      <c r="D14" s="55"/>
      <c r="E14" s="55"/>
      <c r="F14" s="55"/>
      <c r="G14" s="55"/>
      <c r="H14" s="55"/>
      <c r="I14" s="55"/>
    </row>
    <row r="15" spans="1:9" x14ac:dyDescent="0.25">
      <c r="A15" s="62" t="s">
        <v>218</v>
      </c>
      <c r="B15" s="51"/>
      <c r="C15" s="61"/>
      <c r="D15" s="55"/>
      <c r="E15" s="55"/>
      <c r="F15" s="55"/>
      <c r="G15" s="55"/>
      <c r="H15" s="55"/>
      <c r="I15" s="55"/>
    </row>
    <row r="16" spans="1:9" ht="60" x14ac:dyDescent="0.25">
      <c r="A16" s="63" t="s">
        <v>234</v>
      </c>
      <c r="B16" s="51"/>
      <c r="C16" s="61"/>
      <c r="D16" s="55"/>
      <c r="E16" s="55"/>
      <c r="F16" s="55"/>
      <c r="G16" s="55"/>
      <c r="H16" s="55"/>
      <c r="I16" s="55"/>
    </row>
    <row r="17" spans="1:9" x14ac:dyDescent="0.25">
      <c r="A17" s="63"/>
      <c r="B17" s="51"/>
      <c r="C17" s="61"/>
      <c r="D17" s="55"/>
      <c r="E17" s="55"/>
      <c r="F17" s="55"/>
      <c r="G17" s="55"/>
      <c r="H17" s="55"/>
      <c r="I17" s="55"/>
    </row>
    <row r="18" spans="1:9" x14ac:dyDescent="0.25">
      <c r="A18" s="65" t="s">
        <v>219</v>
      </c>
      <c r="B18" s="51"/>
      <c r="C18" s="61"/>
      <c r="D18" s="55"/>
      <c r="E18" s="55"/>
      <c r="F18" s="55"/>
      <c r="G18" s="55"/>
      <c r="H18" s="55"/>
      <c r="I18" s="55"/>
    </row>
    <row r="19" spans="1:9" x14ac:dyDescent="0.25">
      <c r="A19" s="66" t="s">
        <v>221</v>
      </c>
      <c r="B19" s="51"/>
      <c r="C19" s="61"/>
      <c r="D19" s="55"/>
      <c r="E19" s="55"/>
      <c r="F19" s="55"/>
      <c r="G19" s="55"/>
      <c r="H19" s="55"/>
      <c r="I19" s="55"/>
    </row>
    <row r="20" spans="1:9" ht="30" x14ac:dyDescent="0.25">
      <c r="A20" s="67" t="s">
        <v>222</v>
      </c>
      <c r="B20" s="51"/>
      <c r="C20" s="61"/>
      <c r="D20" s="55"/>
      <c r="E20" s="55"/>
      <c r="F20" s="55"/>
      <c r="G20" s="55"/>
      <c r="H20" s="55"/>
      <c r="I20" s="55"/>
    </row>
    <row r="21" spans="1:9" x14ac:dyDescent="0.25">
      <c r="A21" s="63"/>
      <c r="B21" s="51"/>
      <c r="C21" s="61"/>
      <c r="D21" s="55"/>
      <c r="E21" s="55"/>
      <c r="F21" s="55"/>
      <c r="G21" s="55"/>
      <c r="H21" s="55"/>
      <c r="I21" s="55"/>
    </row>
    <row r="22" spans="1:9" x14ac:dyDescent="0.25">
      <c r="A22" s="62" t="s">
        <v>220</v>
      </c>
      <c r="B22" s="51"/>
      <c r="C22" s="61"/>
      <c r="D22" s="55"/>
      <c r="E22" s="55"/>
      <c r="F22" s="55"/>
      <c r="G22" s="55"/>
      <c r="H22" s="55"/>
      <c r="I22" s="55"/>
    </row>
    <row r="23" spans="1:9" ht="60" x14ac:dyDescent="0.25">
      <c r="A23" s="63" t="s">
        <v>235</v>
      </c>
      <c r="B23" s="51"/>
      <c r="C23" s="61"/>
      <c r="D23" s="55"/>
      <c r="E23" s="55"/>
      <c r="F23" s="55"/>
      <c r="G23" s="55"/>
      <c r="H23" s="55"/>
      <c r="I23" s="55"/>
    </row>
    <row r="24" spans="1:9" x14ac:dyDescent="0.25">
      <c r="A24" s="63"/>
      <c r="B24" s="51"/>
      <c r="C24" s="61"/>
      <c r="D24" s="55"/>
      <c r="E24" s="55"/>
      <c r="F24" s="55"/>
      <c r="G24" s="55"/>
      <c r="H24" s="55"/>
      <c r="I24" s="55"/>
    </row>
    <row r="25" spans="1:9" x14ac:dyDescent="0.25">
      <c r="A25" s="65" t="s">
        <v>219</v>
      </c>
      <c r="B25" s="51"/>
      <c r="C25" s="61"/>
      <c r="D25" s="55"/>
      <c r="E25" s="55"/>
      <c r="F25" s="55"/>
      <c r="G25" s="55"/>
      <c r="H25" s="55"/>
      <c r="I25" s="55"/>
    </row>
    <row r="26" spans="1:9" ht="30" x14ac:dyDescent="0.25">
      <c r="A26" s="67" t="s">
        <v>223</v>
      </c>
      <c r="B26" s="51"/>
      <c r="C26" s="61"/>
      <c r="D26" s="55"/>
      <c r="E26" s="55"/>
      <c r="F26" s="55"/>
      <c r="G26" s="55"/>
      <c r="H26" s="55"/>
      <c r="I26" s="55"/>
    </row>
    <row r="27" spans="1:9" x14ac:dyDescent="0.25">
      <c r="A27" s="68" t="s">
        <v>225</v>
      </c>
      <c r="B27" s="53" t="s">
        <v>224</v>
      </c>
      <c r="C27" s="61"/>
      <c r="D27" s="55"/>
      <c r="E27" s="55"/>
      <c r="F27" s="55"/>
      <c r="G27" s="55"/>
      <c r="H27" s="55"/>
      <c r="I27" s="55"/>
    </row>
    <row r="28" spans="1:9" ht="45" x14ac:dyDescent="0.25">
      <c r="A28" s="67" t="s">
        <v>236</v>
      </c>
      <c r="B28" s="51"/>
      <c r="C28" s="61"/>
      <c r="D28" s="55"/>
      <c r="E28" s="55"/>
      <c r="F28" s="55"/>
      <c r="G28" s="55"/>
      <c r="H28" s="55"/>
      <c r="I28" s="55"/>
    </row>
    <row r="29" spans="1:9" x14ac:dyDescent="0.25">
      <c r="A29" s="69"/>
      <c r="B29" s="70"/>
      <c r="C29" s="71"/>
      <c r="D29" s="56"/>
      <c r="E29" s="56"/>
      <c r="F29" s="56"/>
      <c r="G29" s="56"/>
      <c r="H29" s="56"/>
      <c r="I29" s="56"/>
    </row>
  </sheetData>
  <hyperlinks>
    <hyperlink ref="B27" r:id="rId1" xr:uid="{2EACA5F7-9D2D-4096-977B-50FDF459D28A}"/>
    <hyperlink ref="B4" r:id="rId2" xr:uid="{BB685ED8-E879-497B-9083-291B6BDBB2DF}"/>
    <hyperlink ref="C4" r:id="rId3" xr:uid="{4F0CEC0A-67D6-46C4-A848-B94DBC89B5BE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F03B-A9B7-4AA3-8123-5820CE1B63B4}">
  <dimension ref="B2:BK95"/>
  <sheetViews>
    <sheetView tabSelected="1" zoomScaleNormal="100" workbookViewId="0">
      <selection activeCell="S7" sqref="S7"/>
    </sheetView>
  </sheetViews>
  <sheetFormatPr defaultColWidth="9.140625" defaultRowHeight="12.75" x14ac:dyDescent="0.2"/>
  <cols>
    <col min="1" max="1" width="5.7109375" style="12" customWidth="1"/>
    <col min="2" max="2" width="43.7109375" style="12" bestFit="1" customWidth="1"/>
    <col min="3" max="3" width="9.140625" style="12" bestFit="1" customWidth="1"/>
    <col min="4" max="4" width="64.140625" style="12" bestFit="1" customWidth="1"/>
    <col min="5" max="5" width="5.7109375" style="12" customWidth="1"/>
    <col min="6" max="7" width="15.7109375" style="12" customWidth="1"/>
    <col min="8" max="8" width="11.7109375" style="12" customWidth="1"/>
    <col min="9" max="13" width="11.7109375" style="13" customWidth="1"/>
    <col min="14" max="14" width="5.7109375" style="12" customWidth="1"/>
    <col min="15" max="19" width="11.7109375" style="12" customWidth="1"/>
    <col min="20" max="16384" width="9.140625" style="12"/>
  </cols>
  <sheetData>
    <row r="2" spans="2:63" x14ac:dyDescent="0.2">
      <c r="B2" s="10"/>
      <c r="C2" s="10"/>
      <c r="D2" s="10"/>
      <c r="F2" s="9" t="s">
        <v>26</v>
      </c>
      <c r="G2" s="10"/>
      <c r="H2" s="10"/>
      <c r="I2" s="11"/>
      <c r="J2" s="11"/>
      <c r="K2" s="11"/>
      <c r="L2" s="11"/>
      <c r="M2" s="11"/>
      <c r="O2" s="9" t="s">
        <v>233</v>
      </c>
      <c r="P2" s="10"/>
      <c r="Q2" s="10"/>
      <c r="R2" s="10"/>
      <c r="S2" s="10"/>
    </row>
    <row r="3" spans="2:63" s="14" customFormat="1" ht="15" x14ac:dyDescent="0.25">
      <c r="F3" s="125" t="s">
        <v>22</v>
      </c>
      <c r="G3" s="126"/>
      <c r="H3" s="126"/>
      <c r="I3" s="127" t="s">
        <v>3</v>
      </c>
      <c r="J3" s="127"/>
      <c r="K3" s="127"/>
      <c r="L3" s="127"/>
      <c r="M3" s="128"/>
      <c r="O3" s="129" t="s">
        <v>232</v>
      </c>
      <c r="P3" s="130"/>
      <c r="Q3" s="130"/>
      <c r="R3" s="130"/>
      <c r="S3" s="131"/>
      <c r="V3"/>
    </row>
    <row r="4" spans="2:63" s="15" customFormat="1" ht="38.25" x14ac:dyDescent="0.2">
      <c r="B4" s="2" t="s">
        <v>6</v>
      </c>
      <c r="C4" s="24" t="s">
        <v>27</v>
      </c>
      <c r="D4" s="74" t="s">
        <v>7</v>
      </c>
      <c r="F4" s="2" t="s">
        <v>0</v>
      </c>
      <c r="G4" s="3" t="s">
        <v>1</v>
      </c>
      <c r="H4" s="3" t="s">
        <v>2</v>
      </c>
      <c r="I4" s="4" t="s">
        <v>23</v>
      </c>
      <c r="J4" s="4" t="s">
        <v>4</v>
      </c>
      <c r="K4" s="4" t="s">
        <v>5</v>
      </c>
      <c r="L4" s="4" t="s">
        <v>25</v>
      </c>
      <c r="M4" s="5" t="s">
        <v>24</v>
      </c>
      <c r="O4" s="82" t="s">
        <v>8</v>
      </c>
      <c r="P4" s="4" t="s">
        <v>9</v>
      </c>
      <c r="Q4" s="4" t="s">
        <v>11</v>
      </c>
      <c r="R4" s="4" t="s">
        <v>21</v>
      </c>
      <c r="S4" s="5" t="s">
        <v>10</v>
      </c>
      <c r="T4" s="116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</row>
    <row r="5" spans="2:63" s="15" customFormat="1" x14ac:dyDescent="0.2">
      <c r="B5" s="118" t="s">
        <v>215</v>
      </c>
      <c r="C5" s="119" t="s">
        <v>215</v>
      </c>
      <c r="D5" s="120" t="s">
        <v>215</v>
      </c>
      <c r="F5" s="118" t="s">
        <v>215</v>
      </c>
      <c r="G5" s="119" t="s">
        <v>215</v>
      </c>
      <c r="H5" s="119" t="s">
        <v>215</v>
      </c>
      <c r="I5" s="121">
        <v>0.51</v>
      </c>
      <c r="J5" s="122">
        <v>1</v>
      </c>
      <c r="K5" s="122"/>
      <c r="L5" s="123">
        <v>15</v>
      </c>
      <c r="M5" s="124">
        <v>4.2</v>
      </c>
      <c r="O5" s="92">
        <f>IF(ISBLANK(I5)," ",IF(I5&lt;=0.4,1,IF(I5&lt;=0.69,2,IF(I5&lt;=0.95,3,4))))</f>
        <v>2</v>
      </c>
      <c r="P5" s="90">
        <f>IF(ISBLANK(J5)," ",IF(J5&lt;=1.8,1,IF(J5&lt;=2.8,2,IF(J5&lt;=3,3,4))))</f>
        <v>1</v>
      </c>
      <c r="Q5" s="90" t="s">
        <v>20</v>
      </c>
      <c r="R5" s="90">
        <f>IF(ISBLANK(L5)," ",IF(L5&lt;=7.8,1,IF(L5&lt;=11,2,IF(L5&lt;=13,3,4))))</f>
        <v>4</v>
      </c>
      <c r="S5" s="91">
        <f>IF(ISBLANK(M5)," ",IF(M5&lt;=3.8,4,IF(M5&lt;=4.5,3,IF(M5&lt;=5.2,2,1))))</f>
        <v>3</v>
      </c>
      <c r="T5" s="116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</row>
    <row r="6" spans="2:63" s="49" customFormat="1" x14ac:dyDescent="0.2">
      <c r="B6" s="29" t="s">
        <v>12</v>
      </c>
      <c r="C6" s="30" t="s">
        <v>28</v>
      </c>
      <c r="D6" s="78" t="s">
        <v>13</v>
      </c>
      <c r="E6" s="95"/>
      <c r="F6" s="93"/>
      <c r="G6" s="94"/>
      <c r="H6" s="94"/>
      <c r="I6" s="102"/>
      <c r="J6" s="102"/>
      <c r="K6" s="102"/>
      <c r="L6" s="102"/>
      <c r="M6" s="103"/>
      <c r="N6" s="95"/>
      <c r="O6" s="86" t="str">
        <f>IF(ISBLANK(I6)," ",IF(I6&lt;=0.9,1,IF(I6&lt;=1,2,IF(I6&lt;=1.1,3,4))))</f>
        <v xml:space="preserve"> </v>
      </c>
      <c r="P6" s="35" t="s">
        <v>20</v>
      </c>
      <c r="Q6" s="35" t="s">
        <v>20</v>
      </c>
      <c r="R6" s="35" t="s">
        <v>20</v>
      </c>
      <c r="S6" s="36" t="s">
        <v>20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2:63" x14ac:dyDescent="0.2">
      <c r="B7" s="7" t="s">
        <v>12</v>
      </c>
      <c r="C7" s="25" t="s">
        <v>29</v>
      </c>
      <c r="D7" s="75" t="s">
        <v>14</v>
      </c>
      <c r="F7" s="22"/>
      <c r="G7" s="23"/>
      <c r="H7" s="23"/>
      <c r="I7" s="104"/>
      <c r="J7" s="104"/>
      <c r="K7" s="104"/>
      <c r="L7" s="104"/>
      <c r="M7" s="105"/>
      <c r="O7" s="83" t="str">
        <f>IF(ISBLANK(I7)," ",IF(I7&lt;=0.9,1,IF(I7&lt;=1,2,IF(I7&lt;=1.1,3,4))))</f>
        <v xml:space="preserve"> </v>
      </c>
      <c r="P7" s="16" t="s">
        <v>20</v>
      </c>
      <c r="Q7" s="16" t="s">
        <v>20</v>
      </c>
      <c r="R7" s="16" t="s">
        <v>20</v>
      </c>
      <c r="S7" s="17" t="str">
        <f>IF(ISBLANK(M7)," ",IF(M7&lt;3.8,1,IF(M7&lt;4.5,2,IF(M7&lt;5.2,3,4))))</f>
        <v xml:space="preserve"> </v>
      </c>
    </row>
    <row r="8" spans="2:63" x14ac:dyDescent="0.2">
      <c r="B8" s="7" t="s">
        <v>12</v>
      </c>
      <c r="C8" s="25" t="s">
        <v>30</v>
      </c>
      <c r="D8" s="75" t="s">
        <v>15</v>
      </c>
      <c r="F8" s="22"/>
      <c r="G8" s="23"/>
      <c r="H8" s="23"/>
      <c r="I8" s="104"/>
      <c r="J8" s="104"/>
      <c r="K8" s="104"/>
      <c r="L8" s="104"/>
      <c r="M8" s="105"/>
      <c r="O8" s="83" t="str">
        <f>IF(ISBLANK(I8)," ",IF(I8&lt;=0.9,1,IF(I8&lt;=1,2,IF(I8&lt;=1.1,3,4))))</f>
        <v xml:space="preserve"> </v>
      </c>
      <c r="P8" s="16" t="str">
        <f>IF(ISBLANK(J8)," ",IF(J8&lt;=1.3,1,IF(J8&lt;=2,2,IF(J8&lt;=7.6,3,4))))</f>
        <v xml:space="preserve"> </v>
      </c>
      <c r="Q8" s="16" t="s">
        <v>20</v>
      </c>
      <c r="R8" s="16" t="str">
        <f>IF(ISBLANK(L8)," ",IF(L8&lt;=15.3,1,IF(L8&lt;=27,2,IF(L8&lt;=29.6,3,4))))</f>
        <v xml:space="preserve"> </v>
      </c>
      <c r="S8" s="17" t="str">
        <f>IF(ISBLANK(M8)," ",IF(M8&lt;2.4,1,IF(M8&lt;3.3,2,IF(M8&lt;4.1,3,4))))</f>
        <v xml:space="preserve"> </v>
      </c>
    </row>
    <row r="9" spans="2:63" x14ac:dyDescent="0.2">
      <c r="B9" s="7" t="s">
        <v>12</v>
      </c>
      <c r="C9" s="25" t="s">
        <v>31</v>
      </c>
      <c r="D9" s="75" t="s">
        <v>16</v>
      </c>
      <c r="F9" s="22"/>
      <c r="G9" s="23"/>
      <c r="H9" s="23"/>
      <c r="I9" s="104"/>
      <c r="J9" s="104"/>
      <c r="K9" s="104"/>
      <c r="L9" s="104"/>
      <c r="M9" s="105"/>
      <c r="O9" s="83" t="str">
        <f>IF(ISBLANK(I9)," ",IF(I9&lt;=1,1,IF(I9&lt;=1.2,2,IF(I9&lt;=1.4,3,4))))</f>
        <v xml:space="preserve"> </v>
      </c>
      <c r="P9" s="16" t="str">
        <f>IF(ISBLANK(J9)," ",IF(J9&lt;=2.4,1,IF(J9&lt;=4,2,IF(J9&lt;=8.2,3,4))))</f>
        <v xml:space="preserve"> </v>
      </c>
      <c r="Q9" s="16" t="s">
        <v>20</v>
      </c>
      <c r="R9" s="16" t="s">
        <v>20</v>
      </c>
      <c r="S9" s="17" t="str">
        <f>IF(ISBLANK(M9)," ",IF(M9&lt;1.7,1,IF(M9&lt;2.1,2,IF(M9&lt;3,3,4))))</f>
        <v xml:space="preserve"> </v>
      </c>
    </row>
    <row r="10" spans="2:63" x14ac:dyDescent="0.2">
      <c r="B10" s="7" t="s">
        <v>12</v>
      </c>
      <c r="C10" s="25" t="s">
        <v>32</v>
      </c>
      <c r="D10" s="75" t="s">
        <v>17</v>
      </c>
      <c r="F10" s="22"/>
      <c r="G10" s="23"/>
      <c r="H10" s="23"/>
      <c r="I10" s="104"/>
      <c r="J10" s="104"/>
      <c r="K10" s="104"/>
      <c r="L10" s="104"/>
      <c r="M10" s="105"/>
      <c r="O10" s="83" t="str">
        <f>IF(ISBLANK(I10)," ",IF(I10&lt;=0.86,1,IF(I10&lt;=1,3,IF(I10&lt;=1.8,3,4))))</f>
        <v xml:space="preserve"> </v>
      </c>
      <c r="P10" s="16" t="str">
        <f>IF(ISBLANK(J10)," ",IF(J10&lt;=1.7,1,IF(J10&lt;=2.8,2,IF(J10&lt;=6.6,3,4))))</f>
        <v xml:space="preserve"> </v>
      </c>
      <c r="Q10" s="16" t="s">
        <v>20</v>
      </c>
      <c r="R10" s="16" t="s">
        <v>20</v>
      </c>
      <c r="S10" s="17" t="str">
        <f>IF(ISBLANK(M10)," ",IF(M10&lt;3.3,1,IF(M10&lt;4.8,2,IF(M10&lt;8.3,3,4))))</f>
        <v xml:space="preserve"> </v>
      </c>
    </row>
    <row r="11" spans="2:63" x14ac:dyDescent="0.2">
      <c r="B11" s="7" t="s">
        <v>12</v>
      </c>
      <c r="C11" s="25" t="s">
        <v>33</v>
      </c>
      <c r="D11" s="75" t="s">
        <v>18</v>
      </c>
      <c r="F11" s="22"/>
      <c r="G11" s="23"/>
      <c r="H11" s="23"/>
      <c r="I11" s="104"/>
      <c r="J11" s="104"/>
      <c r="K11" s="104"/>
      <c r="L11" s="104"/>
      <c r="M11" s="105"/>
      <c r="O11" s="83" t="str">
        <f>IF(ISBLANK(I11)," ",IF(I11&lt;=0.9,1,IF(I11&lt;=1,2,IF(I11&lt;=1.3,3,4))))</f>
        <v xml:space="preserve"> </v>
      </c>
      <c r="P11" s="16" t="str">
        <f>IF(ISBLANK(J11)," ",IF(J11&lt;=1.5,1,IF(J11&lt;=3.3,2,IF(J11&lt;=12,3,4))))</f>
        <v xml:space="preserve"> </v>
      </c>
      <c r="Q11" s="16" t="s">
        <v>20</v>
      </c>
      <c r="R11" s="16" t="s">
        <v>20</v>
      </c>
      <c r="S11" s="17" t="str">
        <f>IF(ISBLANK(M11)," ",IF(M11&lt;1.5,1,IF(M11&lt;2.6,2,IF(M11&lt;4.3,3,4))))</f>
        <v xml:space="preserve"> </v>
      </c>
    </row>
    <row r="12" spans="2:63" x14ac:dyDescent="0.2">
      <c r="B12" s="8" t="s">
        <v>12</v>
      </c>
      <c r="C12" s="26" t="s">
        <v>34</v>
      </c>
      <c r="D12" s="76" t="s">
        <v>19</v>
      </c>
      <c r="F12" s="47"/>
      <c r="G12" s="48"/>
      <c r="H12" s="48"/>
      <c r="I12" s="106"/>
      <c r="J12" s="106"/>
      <c r="K12" s="106"/>
      <c r="L12" s="106"/>
      <c r="M12" s="107"/>
      <c r="O12" s="84" t="str">
        <f>IF(ISBLANK(I12)," ",IF(I12&lt;=0.4,1,IF(I12&lt;=0.69,2,IF(I12&lt;=0.95,3,4))))</f>
        <v xml:space="preserve"> </v>
      </c>
      <c r="P12" s="18" t="str">
        <f>IF(ISBLANK(J12)," ",IF(J12&lt;=1.8,1,IF(J12&lt;=2.8,2,IF(J12&lt;=4.7,3,4))))</f>
        <v xml:space="preserve"> </v>
      </c>
      <c r="Q12" s="18" t="s">
        <v>20</v>
      </c>
      <c r="R12" s="18" t="str">
        <f>IF(ISBLANK(L12)," ",IF(L12&lt;=7.8,1,IF(L12&lt;=11,2,IF(L12&lt;=13,3,4))))</f>
        <v xml:space="preserve"> </v>
      </c>
      <c r="S12" s="17" t="str">
        <f>IF(ISBLANK(M12)," ",IF(M12&lt;6.3,1,IF(M12&lt;8.7,2,IF(M12&lt;11,3,4))))</f>
        <v xml:space="preserve"> </v>
      </c>
    </row>
    <row r="13" spans="2:63" x14ac:dyDescent="0.2">
      <c r="B13" s="27" t="s">
        <v>180</v>
      </c>
      <c r="C13" s="46" t="s">
        <v>201</v>
      </c>
      <c r="D13" s="77" t="s">
        <v>202</v>
      </c>
      <c r="F13" s="93"/>
      <c r="G13" s="94"/>
      <c r="H13" s="94"/>
      <c r="I13" s="102"/>
      <c r="J13" s="102"/>
      <c r="K13" s="102"/>
      <c r="L13" s="102"/>
      <c r="M13" s="103"/>
      <c r="O13" s="85" t="s">
        <v>20</v>
      </c>
      <c r="P13" s="38" t="s">
        <v>20</v>
      </c>
      <c r="Q13" s="33" t="s">
        <v>20</v>
      </c>
      <c r="R13" s="38" t="str">
        <f>IF(ISBLANK(L13)," ",IF(L13&lt;=7.8,1,IF(L13&lt;=11,2,IF(L13&lt;=13.6,3,4))))</f>
        <v xml:space="preserve"> </v>
      </c>
      <c r="S13" s="36" t="s">
        <v>20</v>
      </c>
    </row>
    <row r="14" spans="2:63" x14ac:dyDescent="0.2">
      <c r="B14" s="8" t="s">
        <v>180</v>
      </c>
      <c r="C14" s="26" t="s">
        <v>181</v>
      </c>
      <c r="D14" s="76" t="s">
        <v>182</v>
      </c>
      <c r="F14" s="96"/>
      <c r="G14" s="97"/>
      <c r="H14" s="97"/>
      <c r="I14" s="108"/>
      <c r="J14" s="108"/>
      <c r="K14" s="108"/>
      <c r="L14" s="108"/>
      <c r="M14" s="109"/>
      <c r="O14" s="84" t="s">
        <v>20</v>
      </c>
      <c r="P14" s="18" t="str">
        <f>IF(ISBLANK(J14)," ",IF(J14&lt;=4,1,IF(J14&lt;=7.3,2,IF(J14&lt;=10,3,4))))</f>
        <v xml:space="preserve"> </v>
      </c>
      <c r="Q14" s="18" t="s">
        <v>20</v>
      </c>
      <c r="R14" s="18" t="str">
        <f>IF(ISBLANK(L14)," ",IF(L14&lt;=15,1,IF(L14&lt;=20,2,IF(L14&lt;=22,3,4))))</f>
        <v xml:space="preserve"> </v>
      </c>
      <c r="S14" s="19" t="s">
        <v>20</v>
      </c>
    </row>
    <row r="15" spans="2:63" x14ac:dyDescent="0.2">
      <c r="B15" s="29" t="s">
        <v>35</v>
      </c>
      <c r="C15" s="30" t="s">
        <v>36</v>
      </c>
      <c r="D15" s="78" t="s">
        <v>43</v>
      </c>
      <c r="F15" s="20"/>
      <c r="G15" s="21"/>
      <c r="H15" s="21"/>
      <c r="I15" s="110"/>
      <c r="J15" s="110"/>
      <c r="K15" s="110"/>
      <c r="L15" s="110"/>
      <c r="M15" s="111"/>
      <c r="O15" s="86" t="str">
        <f>IF(ISBLANK(I15)," ",IF(I15&lt;=1.6,1,IF(I15&lt;=1.8,2,IF(I15&lt;=2,3,4))))</f>
        <v xml:space="preserve"> </v>
      </c>
      <c r="P15" s="35" t="s">
        <v>20</v>
      </c>
      <c r="Q15" s="35" t="s">
        <v>20</v>
      </c>
      <c r="R15" s="35" t="s">
        <v>20</v>
      </c>
      <c r="S15" s="36" t="s">
        <v>20</v>
      </c>
    </row>
    <row r="16" spans="2:63" x14ac:dyDescent="0.2">
      <c r="B16" s="6" t="s">
        <v>35</v>
      </c>
      <c r="C16" s="25" t="s">
        <v>37</v>
      </c>
      <c r="D16" s="75" t="s">
        <v>44</v>
      </c>
      <c r="F16" s="22"/>
      <c r="G16" s="23"/>
      <c r="H16" s="23"/>
      <c r="I16" s="104"/>
      <c r="J16" s="104"/>
      <c r="K16" s="104"/>
      <c r="L16" s="104"/>
      <c r="M16" s="105"/>
      <c r="O16" s="83" t="str">
        <f>IF(ISBLANK(I16)," ",IF(I16&lt;=1.4,1,IF(I16&lt;=1.6,2,IF(I16&lt;=2.4,3,4))))</f>
        <v xml:space="preserve"> </v>
      </c>
      <c r="P16" s="16" t="s">
        <v>20</v>
      </c>
      <c r="Q16" s="16" t="s">
        <v>20</v>
      </c>
      <c r="R16" s="16" t="s">
        <v>20</v>
      </c>
      <c r="S16" s="17" t="s">
        <v>20</v>
      </c>
    </row>
    <row r="17" spans="2:19" x14ac:dyDescent="0.2">
      <c r="B17" s="6" t="s">
        <v>35</v>
      </c>
      <c r="C17" s="25" t="s">
        <v>38</v>
      </c>
      <c r="D17" s="75" t="s">
        <v>45</v>
      </c>
      <c r="F17" s="22"/>
      <c r="G17" s="23"/>
      <c r="H17" s="23"/>
      <c r="I17" s="104"/>
      <c r="J17" s="104"/>
      <c r="K17" s="104"/>
      <c r="L17" s="104"/>
      <c r="M17" s="105"/>
      <c r="O17" s="83" t="str">
        <f>IF(ISBLANK(I17)," ",IF(I17&lt;=0.71,1,IF(I17&lt;=0.8,2,IF(I17&lt;=1.1,3,4))))</f>
        <v xml:space="preserve"> </v>
      </c>
      <c r="P17" s="16" t="s">
        <v>20</v>
      </c>
      <c r="Q17" s="16" t="s">
        <v>20</v>
      </c>
      <c r="R17" s="16" t="s">
        <v>20</v>
      </c>
      <c r="S17" s="17" t="s">
        <v>20</v>
      </c>
    </row>
    <row r="18" spans="2:19" x14ac:dyDescent="0.2">
      <c r="B18" s="6" t="s">
        <v>35</v>
      </c>
      <c r="C18" s="25" t="s">
        <v>39</v>
      </c>
      <c r="D18" s="75" t="s">
        <v>46</v>
      </c>
      <c r="F18" s="22"/>
      <c r="G18" s="23"/>
      <c r="H18" s="23"/>
      <c r="I18" s="104"/>
      <c r="J18" s="104"/>
      <c r="K18" s="104"/>
      <c r="L18" s="104"/>
      <c r="M18" s="105"/>
      <c r="O18" s="83" t="str">
        <f>IF(ISBLANK(I18)," ",IF(I18&lt;=1.5,1,IF(I18&lt;=2,2,IF(I18&lt;=2.2,3,4))))</f>
        <v xml:space="preserve"> </v>
      </c>
      <c r="P18" s="16" t="s">
        <v>20</v>
      </c>
      <c r="Q18" s="16" t="s">
        <v>20</v>
      </c>
      <c r="R18" s="16" t="s">
        <v>20</v>
      </c>
      <c r="S18" s="17" t="s">
        <v>20</v>
      </c>
    </row>
    <row r="19" spans="2:19" x14ac:dyDescent="0.2">
      <c r="B19" s="6" t="s">
        <v>35</v>
      </c>
      <c r="C19" s="25" t="s">
        <v>40</v>
      </c>
      <c r="D19" s="75" t="s">
        <v>47</v>
      </c>
      <c r="F19" s="22"/>
      <c r="G19" s="23"/>
      <c r="H19" s="23"/>
      <c r="I19" s="104"/>
      <c r="J19" s="104"/>
      <c r="K19" s="104"/>
      <c r="L19" s="104"/>
      <c r="M19" s="105"/>
      <c r="O19" s="83" t="str">
        <f>IF(ISBLANK(I19)," ",IF(I19&lt;=1.7,1,2))</f>
        <v xml:space="preserve"> </v>
      </c>
      <c r="P19" s="16" t="s">
        <v>20</v>
      </c>
      <c r="Q19" s="16" t="s">
        <v>20</v>
      </c>
      <c r="R19" s="16" t="s">
        <v>20</v>
      </c>
      <c r="S19" s="17" t="s">
        <v>20</v>
      </c>
    </row>
    <row r="20" spans="2:19" x14ac:dyDescent="0.2">
      <c r="B20" s="6" t="s">
        <v>35</v>
      </c>
      <c r="C20" s="25" t="s">
        <v>41</v>
      </c>
      <c r="D20" s="75" t="s">
        <v>48</v>
      </c>
      <c r="F20" s="22"/>
      <c r="G20" s="23"/>
      <c r="H20" s="23"/>
      <c r="I20" s="104"/>
      <c r="J20" s="104"/>
      <c r="K20" s="104"/>
      <c r="L20" s="104"/>
      <c r="M20" s="105"/>
      <c r="O20" s="83" t="str">
        <f>IF(ISBLANK(I20)," ",IF(I20&lt;=2,1,IF(I20&lt;=2.1,2,IF(I20&lt;=2.7,3,4))))</f>
        <v xml:space="preserve"> </v>
      </c>
      <c r="P20" s="16" t="s">
        <v>20</v>
      </c>
      <c r="Q20" s="16" t="s">
        <v>20</v>
      </c>
      <c r="R20" s="16" t="s">
        <v>20</v>
      </c>
      <c r="S20" s="17" t="s">
        <v>20</v>
      </c>
    </row>
    <row r="21" spans="2:19" x14ac:dyDescent="0.2">
      <c r="B21" s="27" t="s">
        <v>35</v>
      </c>
      <c r="C21" s="28" t="s">
        <v>42</v>
      </c>
      <c r="D21" s="76" t="s">
        <v>49</v>
      </c>
      <c r="F21" s="47"/>
      <c r="G21" s="48"/>
      <c r="H21" s="48"/>
      <c r="I21" s="106"/>
      <c r="J21" s="106"/>
      <c r="K21" s="106"/>
      <c r="L21" s="106"/>
      <c r="M21" s="107"/>
      <c r="O21" s="84" t="str">
        <f>IF(ISBLANK(I21)," ",IF(I21&lt;=2,1,IF(I21&lt;=2.1,2,4)))</f>
        <v xml:space="preserve"> </v>
      </c>
      <c r="P21" s="18" t="s">
        <v>20</v>
      </c>
      <c r="Q21" s="18" t="s">
        <v>20</v>
      </c>
      <c r="R21" s="18" t="s">
        <v>20</v>
      </c>
      <c r="S21" s="19" t="s">
        <v>20</v>
      </c>
    </row>
    <row r="22" spans="2:19" x14ac:dyDescent="0.2">
      <c r="B22" s="31" t="s">
        <v>50</v>
      </c>
      <c r="C22" s="32" t="s">
        <v>51</v>
      </c>
      <c r="D22" s="77" t="s">
        <v>52</v>
      </c>
      <c r="F22" s="100"/>
      <c r="G22" s="101"/>
      <c r="H22" s="101"/>
      <c r="I22" s="112"/>
      <c r="J22" s="112"/>
      <c r="K22" s="112"/>
      <c r="L22" s="112"/>
      <c r="M22" s="113"/>
      <c r="O22" s="85" t="str">
        <f>IF(ISBLANK(I22)," ",IF(I22&lt;=0.95,1,IF(I22&lt;=1.1,2,IF(I22&lt;=1.6,3,4))))</f>
        <v xml:space="preserve"> </v>
      </c>
      <c r="P22" s="33" t="str">
        <f>IF(ISBLANK(J22)," ",IF(J22&lt;=2.5,1,IF(J22&lt;=4.4,2,IF(J22&lt;=7,3,4))))</f>
        <v xml:space="preserve"> </v>
      </c>
      <c r="Q22" s="33" t="s">
        <v>20</v>
      </c>
      <c r="R22" s="33" t="s">
        <v>20</v>
      </c>
      <c r="S22" s="34" t="s">
        <v>20</v>
      </c>
    </row>
    <row r="23" spans="2:19" x14ac:dyDescent="0.2">
      <c r="B23" s="29" t="s">
        <v>53</v>
      </c>
      <c r="C23" s="30" t="s">
        <v>54</v>
      </c>
      <c r="D23" s="78" t="s">
        <v>59</v>
      </c>
      <c r="F23" s="20"/>
      <c r="G23" s="21"/>
      <c r="H23" s="21"/>
      <c r="I23" s="110"/>
      <c r="J23" s="110"/>
      <c r="K23" s="110"/>
      <c r="L23" s="110"/>
      <c r="M23" s="111"/>
      <c r="O23" s="86" t="str">
        <f>IF(ISBLANK(I23)," ",IF(I23&lt;=1.9,1,IF(I23&lt;=2.2,2,IF(I23&lt;=2.5,3,4))))</f>
        <v xml:space="preserve"> </v>
      </c>
      <c r="P23" s="35" t="s">
        <v>20</v>
      </c>
      <c r="Q23" s="35" t="s">
        <v>20</v>
      </c>
      <c r="R23" s="35" t="s">
        <v>20</v>
      </c>
      <c r="S23" s="36" t="s">
        <v>20</v>
      </c>
    </row>
    <row r="24" spans="2:19" x14ac:dyDescent="0.2">
      <c r="B24" s="7" t="s">
        <v>53</v>
      </c>
      <c r="C24" s="25" t="s">
        <v>55</v>
      </c>
      <c r="D24" s="75" t="s">
        <v>60</v>
      </c>
      <c r="F24" s="22"/>
      <c r="G24" s="23"/>
      <c r="H24" s="23"/>
      <c r="I24" s="104"/>
      <c r="J24" s="104"/>
      <c r="K24" s="104"/>
      <c r="L24" s="104"/>
      <c r="M24" s="105"/>
      <c r="O24" s="83" t="str">
        <f>IF(ISBLANK(I24)," ",IF(I24&lt;=1.8,1,IF(I24&lt;=2.1,2,IF(I24&lt;=2.3,3,4))))</f>
        <v xml:space="preserve"> </v>
      </c>
      <c r="P24" s="16" t="str">
        <f>IF(ISBLANK(J24)," ",IF(J24&lt;=7,1,IF(J24&lt;=9,2,IF(J24&lt;=10,3,4))))</f>
        <v xml:space="preserve"> </v>
      </c>
      <c r="Q24" s="16" t="s">
        <v>20</v>
      </c>
      <c r="R24" s="16" t="s">
        <v>20</v>
      </c>
      <c r="S24" s="17" t="s">
        <v>20</v>
      </c>
    </row>
    <row r="25" spans="2:19" x14ac:dyDescent="0.2">
      <c r="B25" s="7" t="s">
        <v>53</v>
      </c>
      <c r="C25" s="25" t="s">
        <v>56</v>
      </c>
      <c r="D25" s="75" t="s">
        <v>61</v>
      </c>
      <c r="F25" s="22"/>
      <c r="G25" s="23"/>
      <c r="H25" s="23"/>
      <c r="I25" s="104"/>
      <c r="J25" s="104"/>
      <c r="K25" s="104"/>
      <c r="L25" s="104"/>
      <c r="M25" s="105"/>
      <c r="O25" s="83" t="str">
        <f>IF(ISBLANK(I25)," ",IF(I25&lt;=3.1,1,IF(I25&lt;=3.6,2,IF(I25&lt;=4.8,3,4))))</f>
        <v xml:space="preserve"> </v>
      </c>
      <c r="P25" s="16" t="s">
        <v>20</v>
      </c>
      <c r="Q25" s="16" t="s">
        <v>20</v>
      </c>
      <c r="R25" s="16" t="s">
        <v>20</v>
      </c>
      <c r="S25" s="17" t="s">
        <v>20</v>
      </c>
    </row>
    <row r="26" spans="2:19" x14ac:dyDescent="0.2">
      <c r="B26" s="7" t="s">
        <v>53</v>
      </c>
      <c r="C26" s="25" t="s">
        <v>57</v>
      </c>
      <c r="D26" s="75" t="s">
        <v>62</v>
      </c>
      <c r="F26" s="22"/>
      <c r="G26" s="23"/>
      <c r="H26" s="23"/>
      <c r="I26" s="104"/>
      <c r="J26" s="104"/>
      <c r="K26" s="104"/>
      <c r="L26" s="104"/>
      <c r="M26" s="105"/>
      <c r="O26" s="83" t="str">
        <f>IF(ISBLANK(I26)," ",IF(I26&lt;=3,1,IF(I26&lt;=3.2,2,4)))</f>
        <v xml:space="preserve"> </v>
      </c>
      <c r="P26" s="16" t="str">
        <f>IF(ISBLANK(J26)," ",IF(J26&lt;=10,1,IF(J26&lt;=13,2,IF(J26&lt;=15,3,4))))</f>
        <v xml:space="preserve"> </v>
      </c>
      <c r="Q26" s="16" t="s">
        <v>20</v>
      </c>
      <c r="R26" s="16" t="s">
        <v>20</v>
      </c>
      <c r="S26" s="17" t="s">
        <v>20</v>
      </c>
    </row>
    <row r="27" spans="2:19" x14ac:dyDescent="0.2">
      <c r="B27" s="37" t="s">
        <v>53</v>
      </c>
      <c r="C27" s="28" t="s">
        <v>58</v>
      </c>
      <c r="D27" s="79" t="s">
        <v>63</v>
      </c>
      <c r="F27" s="47"/>
      <c r="G27" s="48"/>
      <c r="H27" s="48"/>
      <c r="I27" s="106"/>
      <c r="J27" s="106"/>
      <c r="K27" s="106"/>
      <c r="L27" s="106"/>
      <c r="M27" s="107"/>
      <c r="O27" s="87" t="str">
        <f>IF(ISBLANK(I27)," ",IF(I27&lt;=1.5,1,IF(I27&lt;=1.7,2,IF(I27&lt;=1.9,3,4))))</f>
        <v xml:space="preserve"> </v>
      </c>
      <c r="P27" s="38" t="s">
        <v>20</v>
      </c>
      <c r="Q27" s="38" t="s">
        <v>20</v>
      </c>
      <c r="R27" s="38" t="s">
        <v>20</v>
      </c>
      <c r="S27" s="39" t="s">
        <v>20</v>
      </c>
    </row>
    <row r="28" spans="2:19" x14ac:dyDescent="0.2">
      <c r="B28" s="29" t="s">
        <v>64</v>
      </c>
      <c r="C28" s="30" t="s">
        <v>65</v>
      </c>
      <c r="D28" s="78" t="s">
        <v>68</v>
      </c>
      <c r="F28" s="93"/>
      <c r="G28" s="94"/>
      <c r="H28" s="94"/>
      <c r="I28" s="102"/>
      <c r="J28" s="102"/>
      <c r="K28" s="102"/>
      <c r="L28" s="102"/>
      <c r="M28" s="103"/>
      <c r="O28" s="86" t="str">
        <f>IF(ISBLANK(I28)," ",IF(I28&lt;=0.8,1,IF(I28&lt;=1,2,IF(I28&lt;=1.2,3,4))))</f>
        <v xml:space="preserve"> </v>
      </c>
      <c r="P28" s="35" t="s">
        <v>20</v>
      </c>
      <c r="Q28" s="35" t="s">
        <v>20</v>
      </c>
      <c r="R28" s="35" t="s">
        <v>20</v>
      </c>
      <c r="S28" s="36" t="s">
        <v>20</v>
      </c>
    </row>
    <row r="29" spans="2:19" x14ac:dyDescent="0.2">
      <c r="B29" s="6" t="s">
        <v>64</v>
      </c>
      <c r="C29" s="25" t="s">
        <v>66</v>
      </c>
      <c r="D29" s="75" t="s">
        <v>69</v>
      </c>
      <c r="F29" s="22"/>
      <c r="G29" s="23"/>
      <c r="H29" s="23"/>
      <c r="I29" s="104"/>
      <c r="J29" s="104"/>
      <c r="K29" s="104"/>
      <c r="L29" s="104"/>
      <c r="M29" s="105"/>
      <c r="O29" s="83" t="str">
        <f>IF(ISBLANK(I29)," ",IF(I29&lt;=1.3,1,IF(I29&lt;=2.3,2,IF(I29&lt;=2.5,3,4))))</f>
        <v xml:space="preserve"> </v>
      </c>
      <c r="P29" s="16" t="s">
        <v>20</v>
      </c>
      <c r="Q29" s="16" t="s">
        <v>20</v>
      </c>
      <c r="R29" s="16" t="s">
        <v>20</v>
      </c>
      <c r="S29" s="17" t="s">
        <v>20</v>
      </c>
    </row>
    <row r="30" spans="2:19" x14ac:dyDescent="0.2">
      <c r="B30" s="27" t="s">
        <v>64</v>
      </c>
      <c r="C30" s="28" t="s">
        <v>67</v>
      </c>
      <c r="D30" s="79" t="s">
        <v>70</v>
      </c>
      <c r="F30" s="96"/>
      <c r="G30" s="97"/>
      <c r="H30" s="97"/>
      <c r="I30" s="108"/>
      <c r="J30" s="108"/>
      <c r="K30" s="108"/>
      <c r="L30" s="108"/>
      <c r="M30" s="109"/>
      <c r="O30" s="87" t="str">
        <f>IF(ISBLANK(I30)," ",IF(I30&lt;=0.9,1,IF(I30&lt;=1.2,2,IF(I30&lt;=1.9,3,4))))</f>
        <v xml:space="preserve"> </v>
      </c>
      <c r="P30" s="38" t="s">
        <v>20</v>
      </c>
      <c r="Q30" s="38" t="s">
        <v>20</v>
      </c>
      <c r="R30" s="38" t="s">
        <v>20</v>
      </c>
      <c r="S30" s="39" t="s">
        <v>20</v>
      </c>
    </row>
    <row r="31" spans="2:19" x14ac:dyDescent="0.2">
      <c r="B31" s="31" t="s">
        <v>71</v>
      </c>
      <c r="C31" s="32" t="s">
        <v>72</v>
      </c>
      <c r="D31" s="80" t="s">
        <v>71</v>
      </c>
      <c r="F31" s="98"/>
      <c r="G31" s="99"/>
      <c r="H31" s="99"/>
      <c r="I31" s="114"/>
      <c r="J31" s="114"/>
      <c r="K31" s="114"/>
      <c r="L31" s="114"/>
      <c r="M31" s="115"/>
      <c r="O31" s="88" t="str">
        <f>IF(ISBLANK(I31)," ",IF(I31&lt;=1.1,1,IF(I31&lt;=1.4,2,IF(I31&lt;=1.7,3,4))))</f>
        <v xml:space="preserve"> </v>
      </c>
      <c r="P31" s="40" t="s">
        <v>20</v>
      </c>
      <c r="Q31" s="40" t="s">
        <v>20</v>
      </c>
      <c r="R31" s="40" t="s">
        <v>20</v>
      </c>
      <c r="S31" s="41" t="s">
        <v>20</v>
      </c>
    </row>
    <row r="32" spans="2:19" x14ac:dyDescent="0.2">
      <c r="B32" s="31" t="s">
        <v>196</v>
      </c>
      <c r="C32" s="32" t="s">
        <v>197</v>
      </c>
      <c r="D32" s="80" t="s">
        <v>199</v>
      </c>
      <c r="F32" s="93"/>
      <c r="G32" s="94"/>
      <c r="H32" s="94"/>
      <c r="I32" s="102"/>
      <c r="J32" s="102"/>
      <c r="K32" s="102"/>
      <c r="L32" s="102"/>
      <c r="M32" s="103"/>
      <c r="O32" s="88" t="s">
        <v>20</v>
      </c>
      <c r="P32" s="40" t="s">
        <v>20</v>
      </c>
      <c r="Q32" s="40" t="str">
        <f>IF(ISBLANK(K32)," ",IF(K32&lt;=22,1,IF(K32&lt;=28,2,IF(K32&lt;=52,3,4))))</f>
        <v xml:space="preserve"> </v>
      </c>
      <c r="R32" s="40" t="s">
        <v>20</v>
      </c>
      <c r="S32" s="41" t="s">
        <v>20</v>
      </c>
    </row>
    <row r="33" spans="2:19" x14ac:dyDescent="0.2">
      <c r="B33" s="8" t="s">
        <v>196</v>
      </c>
      <c r="C33" s="26" t="s">
        <v>198</v>
      </c>
      <c r="D33" s="76" t="s">
        <v>200</v>
      </c>
      <c r="F33" s="96"/>
      <c r="G33" s="97"/>
      <c r="H33" s="97"/>
      <c r="I33" s="108"/>
      <c r="J33" s="108"/>
      <c r="K33" s="108"/>
      <c r="L33" s="108"/>
      <c r="M33" s="109"/>
      <c r="O33" s="84" t="s">
        <v>20</v>
      </c>
      <c r="P33" s="18" t="s">
        <v>20</v>
      </c>
      <c r="Q33" s="18" t="str">
        <f>IF(ISBLANK(K33)," ",IF(K33&lt;=11,1,IF(K33&lt;=18,2,IF(K33&lt;=43,3,4))))</f>
        <v xml:space="preserve"> </v>
      </c>
      <c r="R33" s="18" t="s">
        <v>20</v>
      </c>
      <c r="S33" s="19" t="s">
        <v>20</v>
      </c>
    </row>
    <row r="34" spans="2:19" x14ac:dyDescent="0.2">
      <c r="B34" s="29" t="s">
        <v>73</v>
      </c>
      <c r="C34" s="30" t="s">
        <v>74</v>
      </c>
      <c r="D34" s="78" t="s">
        <v>75</v>
      </c>
      <c r="F34" s="20"/>
      <c r="G34" s="21"/>
      <c r="H34" s="21"/>
      <c r="I34" s="110"/>
      <c r="J34" s="110"/>
      <c r="K34" s="110"/>
      <c r="L34" s="110"/>
      <c r="M34" s="111"/>
      <c r="O34" s="86" t="str">
        <f>IF(ISBLANK(I34)," ",IF(I34&lt;=0.67,1,IF(I34&lt;=0.77,3,IF(I34&lt;=0.84,3,4))))</f>
        <v xml:space="preserve"> </v>
      </c>
      <c r="P34" s="35" t="s">
        <v>20</v>
      </c>
      <c r="Q34" s="35" t="s">
        <v>20</v>
      </c>
      <c r="R34" s="35" t="s">
        <v>20</v>
      </c>
      <c r="S34" s="36" t="s">
        <v>20</v>
      </c>
    </row>
    <row r="35" spans="2:19" x14ac:dyDescent="0.2">
      <c r="B35" s="37" t="s">
        <v>73</v>
      </c>
      <c r="C35" s="28" t="s">
        <v>76</v>
      </c>
      <c r="D35" s="79" t="s">
        <v>77</v>
      </c>
      <c r="F35" s="47"/>
      <c r="G35" s="48"/>
      <c r="H35" s="48"/>
      <c r="I35" s="106"/>
      <c r="J35" s="106"/>
      <c r="K35" s="106"/>
      <c r="L35" s="106"/>
      <c r="M35" s="107"/>
      <c r="O35" s="87" t="str">
        <f>IF(ISBLANK(I35)," ",IF(I35&lt;=0.8,1,IF(I35&lt;=0.88,2,4)))</f>
        <v xml:space="preserve"> </v>
      </c>
      <c r="P35" s="38" t="s">
        <v>20</v>
      </c>
      <c r="Q35" s="38" t="s">
        <v>20</v>
      </c>
      <c r="R35" s="38" t="s">
        <v>20</v>
      </c>
      <c r="S35" s="39" t="s">
        <v>20</v>
      </c>
    </row>
    <row r="36" spans="2:19" x14ac:dyDescent="0.2">
      <c r="B36" s="29" t="s">
        <v>78</v>
      </c>
      <c r="C36" s="30" t="s">
        <v>79</v>
      </c>
      <c r="D36" s="78" t="s">
        <v>84</v>
      </c>
      <c r="F36" s="93"/>
      <c r="G36" s="94"/>
      <c r="H36" s="94"/>
      <c r="I36" s="102"/>
      <c r="J36" s="102"/>
      <c r="K36" s="102"/>
      <c r="L36" s="102"/>
      <c r="M36" s="103"/>
      <c r="O36" s="86" t="str">
        <f>IF(ISBLANK(I36)," ",IF(I36&lt;=0.74,1,IF(I36&lt;=0.85,2,IF(I36&lt;=1.1,3,4))))</f>
        <v xml:space="preserve"> </v>
      </c>
      <c r="P36" s="35" t="s">
        <v>20</v>
      </c>
      <c r="Q36" s="35" t="s">
        <v>20</v>
      </c>
      <c r="R36" s="35" t="s">
        <v>20</v>
      </c>
      <c r="S36" s="36" t="s">
        <v>20</v>
      </c>
    </row>
    <row r="37" spans="2:19" x14ac:dyDescent="0.2">
      <c r="B37" s="6" t="s">
        <v>78</v>
      </c>
      <c r="C37" s="25" t="s">
        <v>80</v>
      </c>
      <c r="D37" s="75" t="s">
        <v>85</v>
      </c>
      <c r="F37" s="22"/>
      <c r="G37" s="23"/>
      <c r="H37" s="23"/>
      <c r="I37" s="104"/>
      <c r="J37" s="104"/>
      <c r="K37" s="104"/>
      <c r="L37" s="104"/>
      <c r="M37" s="105"/>
      <c r="O37" s="83" t="str">
        <f>IF(ISBLANK(I37)," ",IF(I37&lt;=1.4,1,IF(I37&lt;=1.8,2,IF(I37&lt;=2.5,3,4))))</f>
        <v xml:space="preserve"> </v>
      </c>
      <c r="P37" s="16" t="s">
        <v>20</v>
      </c>
      <c r="Q37" s="16" t="s">
        <v>20</v>
      </c>
      <c r="R37" s="16" t="s">
        <v>20</v>
      </c>
      <c r="S37" s="17" t="s">
        <v>20</v>
      </c>
    </row>
    <row r="38" spans="2:19" x14ac:dyDescent="0.2">
      <c r="B38" s="6" t="s">
        <v>78</v>
      </c>
      <c r="C38" s="25" t="s">
        <v>81</v>
      </c>
      <c r="D38" s="75" t="s">
        <v>86</v>
      </c>
      <c r="F38" s="22"/>
      <c r="G38" s="23"/>
      <c r="H38" s="23"/>
      <c r="I38" s="104"/>
      <c r="J38" s="104"/>
      <c r="K38" s="104"/>
      <c r="L38" s="104"/>
      <c r="M38" s="105"/>
      <c r="O38" s="83" t="str">
        <f>IF(ISBLANK(I38)," ",IF(I38&lt;=1,1,IF(I38&lt;=1.4,2,IF(I38&lt;=1.7,3,4))))</f>
        <v xml:space="preserve"> </v>
      </c>
      <c r="P38" s="16" t="s">
        <v>20</v>
      </c>
      <c r="Q38" s="16" t="s">
        <v>20</v>
      </c>
      <c r="R38" s="16" t="s">
        <v>20</v>
      </c>
      <c r="S38" s="17" t="s">
        <v>20</v>
      </c>
    </row>
    <row r="39" spans="2:19" x14ac:dyDescent="0.2">
      <c r="B39" s="6" t="s">
        <v>78</v>
      </c>
      <c r="C39" s="25" t="s">
        <v>82</v>
      </c>
      <c r="D39" s="75" t="s">
        <v>87</v>
      </c>
      <c r="F39" s="22"/>
      <c r="G39" s="23"/>
      <c r="H39" s="23"/>
      <c r="I39" s="104"/>
      <c r="J39" s="104"/>
      <c r="K39" s="104"/>
      <c r="L39" s="104"/>
      <c r="M39" s="105"/>
      <c r="O39" s="83" t="str">
        <f>IF(ISBLANK(I39)," ",IF(I39&lt;=1,1,IF(I39&lt;=1.4,2,IF(I39&lt;=1.6,3,4))))</f>
        <v xml:space="preserve"> </v>
      </c>
      <c r="P39" s="16" t="s">
        <v>20</v>
      </c>
      <c r="Q39" s="16" t="s">
        <v>20</v>
      </c>
      <c r="R39" s="16" t="s">
        <v>20</v>
      </c>
      <c r="S39" s="17" t="s">
        <v>20</v>
      </c>
    </row>
    <row r="40" spans="2:19" x14ac:dyDescent="0.2">
      <c r="B40" s="27" t="s">
        <v>78</v>
      </c>
      <c r="C40" s="28" t="s">
        <v>83</v>
      </c>
      <c r="D40" s="79" t="s">
        <v>88</v>
      </c>
      <c r="F40" s="96"/>
      <c r="G40" s="97"/>
      <c r="H40" s="97"/>
      <c r="I40" s="108"/>
      <c r="J40" s="108"/>
      <c r="K40" s="108"/>
      <c r="L40" s="108"/>
      <c r="M40" s="109"/>
      <c r="O40" s="87" t="str">
        <f>IF(ISBLANK(I40)," ",IF(I40&lt;=0.95,1,IF(I40&lt;=1.2,3,IF(I40&lt;=1.4,3,4))))</f>
        <v xml:space="preserve"> </v>
      </c>
      <c r="P40" s="38" t="s">
        <v>20</v>
      </c>
      <c r="Q40" s="38" t="s">
        <v>20</v>
      </c>
      <c r="R40" s="38" t="s">
        <v>20</v>
      </c>
      <c r="S40" s="39" t="s">
        <v>20</v>
      </c>
    </row>
    <row r="41" spans="2:19" x14ac:dyDescent="0.2">
      <c r="B41" s="29" t="s">
        <v>89</v>
      </c>
      <c r="C41" s="30" t="s">
        <v>90</v>
      </c>
      <c r="D41" s="78" t="s">
        <v>99</v>
      </c>
      <c r="F41" s="20"/>
      <c r="G41" s="21"/>
      <c r="H41" s="21"/>
      <c r="I41" s="110"/>
      <c r="J41" s="110"/>
      <c r="K41" s="110"/>
      <c r="L41" s="110"/>
      <c r="M41" s="111"/>
      <c r="O41" s="86" t="str">
        <f>IF(ISBLANK(I41)," ",IF(I41&lt;=1.2,1,2))</f>
        <v xml:space="preserve"> </v>
      </c>
      <c r="P41" s="35" t="str">
        <f>IF(ISBLANK(J41)," ",IF(J41&lt;=3.4,1,IF(J41&lt;=4,2,IF(J41&lt;=4.8,3,4))))</f>
        <v xml:space="preserve"> </v>
      </c>
      <c r="Q41" s="35" t="s">
        <v>20</v>
      </c>
      <c r="R41" s="35" t="s">
        <v>20</v>
      </c>
      <c r="S41" s="36" t="s">
        <v>20</v>
      </c>
    </row>
    <row r="42" spans="2:19" x14ac:dyDescent="0.2">
      <c r="B42" s="7" t="s">
        <v>89</v>
      </c>
      <c r="C42" s="25" t="s">
        <v>91</v>
      </c>
      <c r="D42" s="75" t="s">
        <v>100</v>
      </c>
      <c r="F42" s="22"/>
      <c r="G42" s="23"/>
      <c r="H42" s="23"/>
      <c r="I42" s="104"/>
      <c r="J42" s="104"/>
      <c r="K42" s="104"/>
      <c r="L42" s="104"/>
      <c r="M42" s="105"/>
      <c r="O42" s="83" t="str">
        <f>IF(ISBLANK(I42)," ",IF(I42&lt;=1.1,1,IF(I42&lt;=1.2,2,IF(I42&lt;=1.3,3,4))))</f>
        <v xml:space="preserve"> </v>
      </c>
      <c r="P42" s="16" t="str">
        <f>IF(ISBLANK(J42)," ",IF(J42&lt;=1.6,1,IF(J42&lt;=2.2,2,IF(J42&lt;=3,3,4))))</f>
        <v xml:space="preserve"> </v>
      </c>
      <c r="Q42" s="16" t="s">
        <v>20</v>
      </c>
      <c r="R42" s="16" t="s">
        <v>20</v>
      </c>
      <c r="S42" s="17" t="s">
        <v>20</v>
      </c>
    </row>
    <row r="43" spans="2:19" x14ac:dyDescent="0.2">
      <c r="B43" s="7" t="s">
        <v>89</v>
      </c>
      <c r="C43" s="25" t="s">
        <v>92</v>
      </c>
      <c r="D43" s="75" t="s">
        <v>101</v>
      </c>
      <c r="F43" s="22"/>
      <c r="G43" s="23"/>
      <c r="H43" s="23"/>
      <c r="I43" s="104"/>
      <c r="J43" s="104"/>
      <c r="K43" s="104"/>
      <c r="L43" s="104"/>
      <c r="M43" s="105"/>
      <c r="O43" s="83" t="str">
        <f>IF(ISBLANK(I43)," ",IF(I43&lt;=1.1,1,IF(I43&lt;=1.4,2,IF(I43&lt;=1.7,3,4))))</f>
        <v xml:space="preserve"> </v>
      </c>
      <c r="P43" s="16" t="str">
        <f>IF(ISBLANK(J43)," ",IF(J43&lt;=3,1,IF(J43&lt;=4.5,2,IF(J43&lt;=10,3,4))))</f>
        <v xml:space="preserve"> </v>
      </c>
      <c r="Q43" s="16" t="s">
        <v>20</v>
      </c>
      <c r="R43" s="16" t="s">
        <v>20</v>
      </c>
      <c r="S43" s="17" t="s">
        <v>20</v>
      </c>
    </row>
    <row r="44" spans="2:19" x14ac:dyDescent="0.2">
      <c r="B44" s="7" t="s">
        <v>89</v>
      </c>
      <c r="C44" s="25" t="s">
        <v>93</v>
      </c>
      <c r="D44" s="75" t="s">
        <v>102</v>
      </c>
      <c r="F44" s="22"/>
      <c r="G44" s="23"/>
      <c r="H44" s="23"/>
      <c r="I44" s="104"/>
      <c r="J44" s="104"/>
      <c r="K44" s="104"/>
      <c r="L44" s="104"/>
      <c r="M44" s="105"/>
      <c r="O44" s="83" t="str">
        <f>IF(ISBLANK(I44)," ",IF(I44&lt;=1.1,1,IF(I44&lt;=1.4,2,IF(I44&lt;=1.6,3,4))))</f>
        <v xml:space="preserve"> </v>
      </c>
      <c r="P44" s="16" t="str">
        <f>IF(ISBLANK(J44)," ",IF(J44&lt;=3.2,1,IF(J44&lt;=9,2,IF(J44&lt;=11,3,4))))</f>
        <v xml:space="preserve"> </v>
      </c>
      <c r="Q44" s="16" t="s">
        <v>20</v>
      </c>
      <c r="R44" s="16" t="s">
        <v>20</v>
      </c>
      <c r="S44" s="17" t="s">
        <v>20</v>
      </c>
    </row>
    <row r="45" spans="2:19" x14ac:dyDescent="0.2">
      <c r="B45" s="7" t="s">
        <v>89</v>
      </c>
      <c r="C45" s="25" t="s">
        <v>94</v>
      </c>
      <c r="D45" s="75" t="s">
        <v>104</v>
      </c>
      <c r="F45" s="22"/>
      <c r="G45" s="23"/>
      <c r="H45" s="23"/>
      <c r="I45" s="104"/>
      <c r="J45" s="104"/>
      <c r="K45" s="104"/>
      <c r="L45" s="104"/>
      <c r="M45" s="105"/>
      <c r="O45" s="83" t="str">
        <f>IF(ISBLANK(I45)," ",IF(I45&lt;=1.2,1,IF(I45&lt;=1.5,2,IF(I45&lt;=2.1,3,4))))</f>
        <v xml:space="preserve"> </v>
      </c>
      <c r="P45" s="16" t="s">
        <v>20</v>
      </c>
      <c r="Q45" s="16" t="s">
        <v>20</v>
      </c>
      <c r="R45" s="16" t="s">
        <v>20</v>
      </c>
      <c r="S45" s="17" t="s">
        <v>20</v>
      </c>
    </row>
    <row r="46" spans="2:19" x14ac:dyDescent="0.2">
      <c r="B46" s="7" t="s">
        <v>89</v>
      </c>
      <c r="C46" s="25" t="s">
        <v>95</v>
      </c>
      <c r="D46" s="75" t="s">
        <v>103</v>
      </c>
      <c r="F46" s="22"/>
      <c r="G46" s="23"/>
      <c r="H46" s="23"/>
      <c r="I46" s="104"/>
      <c r="J46" s="104"/>
      <c r="K46" s="104"/>
      <c r="L46" s="104"/>
      <c r="M46" s="105"/>
      <c r="O46" s="83" t="str">
        <f>IF(ISBLANK(I46)," ",IF(I46&lt;=1.7,1,IF(I46&lt;=1.9,2,IF(I46&lt;=2.3,3,4))))</f>
        <v xml:space="preserve"> </v>
      </c>
      <c r="P46" s="16" t="s">
        <v>20</v>
      </c>
      <c r="Q46" s="16" t="s">
        <v>20</v>
      </c>
      <c r="R46" s="16" t="s">
        <v>20</v>
      </c>
      <c r="S46" s="17" t="s">
        <v>20</v>
      </c>
    </row>
    <row r="47" spans="2:19" x14ac:dyDescent="0.2">
      <c r="B47" s="7" t="s">
        <v>89</v>
      </c>
      <c r="C47" s="25" t="s">
        <v>96</v>
      </c>
      <c r="D47" s="75" t="s">
        <v>105</v>
      </c>
      <c r="F47" s="22"/>
      <c r="G47" s="23"/>
      <c r="H47" s="23"/>
      <c r="I47" s="104"/>
      <c r="J47" s="104"/>
      <c r="K47" s="104"/>
      <c r="L47" s="104"/>
      <c r="M47" s="105"/>
      <c r="O47" s="83" t="str">
        <f>IF(ISBLANK(I47)," ",IF(I47&lt;=1,1,IF(I47&lt;=1.6,2,IF(I47&lt;=1.7,3,4))))</f>
        <v xml:space="preserve"> </v>
      </c>
      <c r="P47" s="16" t="s">
        <v>20</v>
      </c>
      <c r="Q47" s="16" t="s">
        <v>20</v>
      </c>
      <c r="R47" s="16" t="s">
        <v>20</v>
      </c>
      <c r="S47" s="17" t="s">
        <v>20</v>
      </c>
    </row>
    <row r="48" spans="2:19" x14ac:dyDescent="0.2">
      <c r="B48" s="7" t="s">
        <v>89</v>
      </c>
      <c r="C48" s="25" t="s">
        <v>97</v>
      </c>
      <c r="D48" s="75" t="s">
        <v>106</v>
      </c>
      <c r="F48" s="22"/>
      <c r="G48" s="23"/>
      <c r="H48" s="23"/>
      <c r="I48" s="104"/>
      <c r="J48" s="104"/>
      <c r="K48" s="104"/>
      <c r="L48" s="104"/>
      <c r="M48" s="105"/>
      <c r="O48" s="83" t="str">
        <f>IF(ISBLANK(I48)," ",IF(I48&lt;=0.7,1,IF(I48&lt;=0.8,2,IF(I48&lt;=1,3,4))))</f>
        <v xml:space="preserve"> </v>
      </c>
      <c r="P48" s="16" t="s">
        <v>20</v>
      </c>
      <c r="Q48" s="16" t="s">
        <v>20</v>
      </c>
      <c r="R48" s="16" t="s">
        <v>20</v>
      </c>
      <c r="S48" s="17" t="s">
        <v>20</v>
      </c>
    </row>
    <row r="49" spans="2:19" x14ac:dyDescent="0.2">
      <c r="B49" s="37" t="s">
        <v>89</v>
      </c>
      <c r="C49" s="28" t="s">
        <v>98</v>
      </c>
      <c r="D49" s="79" t="s">
        <v>107</v>
      </c>
      <c r="F49" s="47"/>
      <c r="G49" s="48"/>
      <c r="H49" s="48"/>
      <c r="I49" s="106"/>
      <c r="J49" s="106"/>
      <c r="K49" s="106"/>
      <c r="L49" s="106"/>
      <c r="M49" s="107"/>
      <c r="O49" s="87" t="str">
        <f>IF(ISBLANK(I49)," ",IF(I49&lt;=0.9,1,IF(I49&lt;=1.5,2,IF(I49&lt;=2.3,3,4))))</f>
        <v xml:space="preserve"> </v>
      </c>
      <c r="P49" s="38" t="s">
        <v>20</v>
      </c>
      <c r="Q49" s="38" t="s">
        <v>20</v>
      </c>
      <c r="R49" s="38" t="s">
        <v>20</v>
      </c>
      <c r="S49" s="39" t="s">
        <v>20</v>
      </c>
    </row>
    <row r="50" spans="2:19" x14ac:dyDescent="0.2">
      <c r="B50" s="29" t="s">
        <v>108</v>
      </c>
      <c r="C50" s="30" t="s">
        <v>109</v>
      </c>
      <c r="D50" s="78" t="s">
        <v>114</v>
      </c>
      <c r="F50" s="93"/>
      <c r="G50" s="94"/>
      <c r="H50" s="94"/>
      <c r="I50" s="102"/>
      <c r="J50" s="102"/>
      <c r="K50" s="102"/>
      <c r="L50" s="102"/>
      <c r="M50" s="103"/>
      <c r="O50" s="86" t="str">
        <f>IF(ISBLANK(I50)," ",IF(I50&lt;=0.6,1,IF(I50&lt;=0.7,2,IF(I50&lt;=0.9,3,4))))</f>
        <v xml:space="preserve"> </v>
      </c>
      <c r="P50" s="35" t="str">
        <f>IF(ISBLANK(J50)," ",IF(J50&lt;=7.1,1,IF(J50&lt;=11,2,IF(J50&lt;=14,3,4))))</f>
        <v xml:space="preserve"> </v>
      </c>
      <c r="Q50" s="35" t="s">
        <v>20</v>
      </c>
      <c r="R50" s="35" t="str">
        <f>IF(ISBLANK(L50)," ",IF(L50&lt;=27,1,IF(L50&lt;=34,2,IF(L50&lt;=37,3,4))))</f>
        <v xml:space="preserve"> </v>
      </c>
      <c r="S50" s="36" t="s">
        <v>20</v>
      </c>
    </row>
    <row r="51" spans="2:19" x14ac:dyDescent="0.2">
      <c r="B51" s="7" t="s">
        <v>108</v>
      </c>
      <c r="C51" s="25" t="s">
        <v>110</v>
      </c>
      <c r="D51" s="75" t="s">
        <v>115</v>
      </c>
      <c r="F51" s="22"/>
      <c r="G51" s="23"/>
      <c r="H51" s="23"/>
      <c r="I51" s="104"/>
      <c r="J51" s="104"/>
      <c r="K51" s="104"/>
      <c r="L51" s="104"/>
      <c r="M51" s="105"/>
      <c r="O51" s="83" t="str">
        <f>IF(ISBLANK(I51)," ",IF(I51&lt;=0.38,1,IF(I51&lt;=0.54,2,IF(I51&lt;=0.76,3,4))))</f>
        <v xml:space="preserve"> </v>
      </c>
      <c r="P51" s="16" t="str">
        <f>IF(ISBLANK(J51)," ",IF(J51&lt;=7.1,1,IF(J51&lt;=11,2,IF(J51&lt;=14,3,4))))</f>
        <v xml:space="preserve"> </v>
      </c>
      <c r="Q51" s="16" t="s">
        <v>20</v>
      </c>
      <c r="R51" s="16" t="str">
        <f>IF(ISBLANK(L51)," ",IF(L51&lt;=27,1,IF(L51&lt;=34,2,IF(L51&lt;=37,3,4))))</f>
        <v xml:space="preserve"> </v>
      </c>
      <c r="S51" s="17" t="s">
        <v>20</v>
      </c>
    </row>
    <row r="52" spans="2:19" x14ac:dyDescent="0.2">
      <c r="B52" s="7" t="s">
        <v>108</v>
      </c>
      <c r="C52" s="25" t="s">
        <v>111</v>
      </c>
      <c r="D52" s="75" t="s">
        <v>116</v>
      </c>
      <c r="F52" s="22"/>
      <c r="G52" s="23"/>
      <c r="H52" s="23"/>
      <c r="I52" s="104"/>
      <c r="J52" s="104"/>
      <c r="K52" s="104"/>
      <c r="L52" s="104"/>
      <c r="M52" s="105"/>
      <c r="O52" s="83" t="str">
        <f>IF(ISBLANK(I52)," ",IF(I52&lt;=0.38,1,IF(I52&lt;=0.54,2,IF(I52&lt;=0.76,3,4))))</f>
        <v xml:space="preserve"> </v>
      </c>
      <c r="P52" s="16" t="s">
        <v>20</v>
      </c>
      <c r="Q52" s="16" t="s">
        <v>20</v>
      </c>
      <c r="R52" s="16" t="str">
        <f>IF(ISBLANK(L52)," ",IF(L52&lt;=37,1,IF(L52&lt;=39,2,IF(L52&lt;=41,3,4))))</f>
        <v xml:space="preserve"> </v>
      </c>
      <c r="S52" s="17" t="s">
        <v>20</v>
      </c>
    </row>
    <row r="53" spans="2:19" x14ac:dyDescent="0.2">
      <c r="B53" s="7" t="s">
        <v>108</v>
      </c>
      <c r="C53" s="25" t="s">
        <v>112</v>
      </c>
      <c r="D53" s="75" t="s">
        <v>117</v>
      </c>
      <c r="F53" s="22"/>
      <c r="G53" s="23"/>
      <c r="H53" s="23"/>
      <c r="I53" s="104"/>
      <c r="J53" s="104"/>
      <c r="K53" s="104"/>
      <c r="L53" s="104"/>
      <c r="M53" s="105"/>
      <c r="O53" s="83" t="str">
        <f>IF(ISBLANK(I86)," ",IF(I86&lt;=0.33,1,IF(I53&lt;=0.4,2,IF(I53&lt;=0.6,3,4))))</f>
        <v xml:space="preserve"> </v>
      </c>
      <c r="P53" s="16" t="str">
        <f>IF(ISBLANK(J53)," ",IF(J53&lt;=2.6,1,IF(J53&lt;=4.2,2,IF(J53&lt;=7.5,3,4))))</f>
        <v xml:space="preserve"> </v>
      </c>
      <c r="Q53" s="16" t="s">
        <v>20</v>
      </c>
      <c r="R53" s="16" t="str">
        <f>IF(ISBLANK(L53)," ",IF(L53&lt;=20,1,IF(L53&lt;=24,2,IF(L53&lt;=34,3,4))))</f>
        <v xml:space="preserve"> </v>
      </c>
      <c r="S53" s="17" t="s">
        <v>20</v>
      </c>
    </row>
    <row r="54" spans="2:19" x14ac:dyDescent="0.2">
      <c r="B54" s="37" t="s">
        <v>108</v>
      </c>
      <c r="C54" s="1" t="s">
        <v>113</v>
      </c>
      <c r="D54" s="79" t="s">
        <v>118</v>
      </c>
      <c r="F54" s="22"/>
      <c r="G54" s="23"/>
      <c r="H54" s="23"/>
      <c r="I54" s="104"/>
      <c r="J54" s="104"/>
      <c r="K54" s="104"/>
      <c r="L54" s="104"/>
      <c r="M54" s="105"/>
      <c r="O54" s="87" t="str">
        <f>IF(ISBLANK(I54)," ",IF(I54&lt;=0.38,1,IF(I54&lt;=0.54,2,IF(I54&lt;=0.76,3,4))))</f>
        <v xml:space="preserve"> </v>
      </c>
      <c r="P54" s="38" t="str">
        <f>IF(ISBLANK(J54)," ",IF(J54&lt;=7.1,1,IF(J54&lt;=11,2,IF(J54&lt;=14,3,4))))</f>
        <v xml:space="preserve"> </v>
      </c>
      <c r="Q54" s="38" t="s">
        <v>20</v>
      </c>
      <c r="R54" s="38" t="str">
        <f>IF(ISBLANK(L54)," ",IF(L54&lt;=17,1,IF(L54&lt;=22,2,IF(L54&lt;=27,3,4))))</f>
        <v xml:space="preserve"> </v>
      </c>
      <c r="S54" s="39" t="s">
        <v>20</v>
      </c>
    </row>
    <row r="55" spans="2:19" x14ac:dyDescent="0.2">
      <c r="B55" s="37" t="s">
        <v>108</v>
      </c>
      <c r="C55" s="1" t="s">
        <v>203</v>
      </c>
      <c r="D55" s="79" t="s">
        <v>205</v>
      </c>
      <c r="F55" s="22"/>
      <c r="G55" s="23"/>
      <c r="H55" s="23"/>
      <c r="I55" s="104"/>
      <c r="J55" s="104"/>
      <c r="K55" s="104"/>
      <c r="L55" s="104"/>
      <c r="M55" s="105"/>
      <c r="O55" s="87" t="s">
        <v>20</v>
      </c>
      <c r="P55" s="38" t="s">
        <v>20</v>
      </c>
      <c r="Q55" s="38" t="s">
        <v>20</v>
      </c>
      <c r="R55" s="38" t="str">
        <f>IF(ISBLANK(L55)," ",IF(L55&lt;=46,1,IF(L55&lt;=51,2,IF(L55&lt;=56,3,4))))</f>
        <v xml:space="preserve"> </v>
      </c>
      <c r="S55" s="39" t="s">
        <v>20</v>
      </c>
    </row>
    <row r="56" spans="2:19" x14ac:dyDescent="0.2">
      <c r="B56" s="37" t="s">
        <v>108</v>
      </c>
      <c r="C56" s="1" t="s">
        <v>204</v>
      </c>
      <c r="D56" s="79" t="s">
        <v>206</v>
      </c>
      <c r="F56" s="22"/>
      <c r="G56" s="23"/>
      <c r="H56" s="23"/>
      <c r="I56" s="104"/>
      <c r="J56" s="104"/>
      <c r="K56" s="104"/>
      <c r="L56" s="104"/>
      <c r="M56" s="105"/>
      <c r="O56" s="87" t="s">
        <v>20</v>
      </c>
      <c r="P56" s="38" t="s">
        <v>20</v>
      </c>
      <c r="Q56" s="38" t="s">
        <v>20</v>
      </c>
      <c r="R56" s="38" t="str">
        <f>IF(ISBLANK(L56)," ",IF(L56&lt;=54,1,IF(L56&lt;=65,2,IF(L56&lt;=74,3,4))))</f>
        <v xml:space="preserve"> </v>
      </c>
      <c r="S56" s="39" t="s">
        <v>20</v>
      </c>
    </row>
    <row r="57" spans="2:19" x14ac:dyDescent="0.2">
      <c r="B57" s="37" t="s">
        <v>108</v>
      </c>
      <c r="C57" s="1" t="s">
        <v>207</v>
      </c>
      <c r="D57" s="79" t="s">
        <v>208</v>
      </c>
      <c r="F57" s="22"/>
      <c r="G57" s="23"/>
      <c r="H57" s="23"/>
      <c r="I57" s="104"/>
      <c r="J57" s="104"/>
      <c r="K57" s="104"/>
      <c r="L57" s="104"/>
      <c r="M57" s="105"/>
      <c r="O57" s="87" t="s">
        <v>20</v>
      </c>
      <c r="P57" s="38" t="s">
        <v>20</v>
      </c>
      <c r="Q57" s="38" t="s">
        <v>20</v>
      </c>
      <c r="R57" s="38" t="str">
        <f>IF(ISBLANK(L57)," ",IF(L57&lt;=22,1,IF(L57&lt;=24,2,IF(L57&lt;=27,3,4))))</f>
        <v xml:space="preserve"> </v>
      </c>
      <c r="S57" s="39" t="s">
        <v>20</v>
      </c>
    </row>
    <row r="58" spans="2:19" x14ac:dyDescent="0.2">
      <c r="B58" s="37" t="s">
        <v>108</v>
      </c>
      <c r="C58" s="1" t="s">
        <v>183</v>
      </c>
      <c r="D58" s="79" t="s">
        <v>185</v>
      </c>
      <c r="F58" s="22"/>
      <c r="G58" s="23"/>
      <c r="H58" s="23"/>
      <c r="I58" s="104"/>
      <c r="J58" s="104"/>
      <c r="K58" s="104"/>
      <c r="L58" s="104"/>
      <c r="M58" s="105"/>
      <c r="O58" s="87" t="s">
        <v>20</v>
      </c>
      <c r="P58" s="38" t="str">
        <f>IF(ISBLANK(J58)," ",IF(J58&lt;=5.7,1,IF(J58&lt;=7.1,2,IF(J58&lt;=9.2,3,4))))</f>
        <v xml:space="preserve"> </v>
      </c>
      <c r="Q58" s="38" t="s">
        <v>20</v>
      </c>
      <c r="R58" s="38" t="str">
        <f>IF(ISBLANK(L58)," ",IF(L58&lt;=22,1,IF(L58&lt;=24,2,IF(L58&lt;=27,3,4))))</f>
        <v xml:space="preserve"> </v>
      </c>
      <c r="S58" s="39" t="s">
        <v>20</v>
      </c>
    </row>
    <row r="59" spans="2:19" x14ac:dyDescent="0.2">
      <c r="B59" s="37" t="s">
        <v>108</v>
      </c>
      <c r="C59" s="1" t="s">
        <v>184</v>
      </c>
      <c r="D59" s="79" t="s">
        <v>186</v>
      </c>
      <c r="F59" s="22"/>
      <c r="G59" s="23"/>
      <c r="H59" s="23"/>
      <c r="I59" s="104"/>
      <c r="J59" s="104"/>
      <c r="K59" s="104"/>
      <c r="L59" s="104"/>
      <c r="M59" s="105"/>
      <c r="O59" s="87" t="s">
        <v>20</v>
      </c>
      <c r="P59" s="38" t="str">
        <f>IF(ISBLANK(J59)," ",IF(J59&lt;=5.7,1,IF(J59&lt;=7.1,2,IF(J59&lt;=9.2,3,4))))</f>
        <v xml:space="preserve"> </v>
      </c>
      <c r="Q59" s="38" t="s">
        <v>20</v>
      </c>
      <c r="R59" s="38" t="str">
        <f>IF(ISBLANK(L59)," ",IF(L59&lt;=22,1,IF(L59&lt;=24,2,IF(L59&lt;=27,3,4))))</f>
        <v xml:space="preserve"> </v>
      </c>
      <c r="S59" s="39" t="s">
        <v>20</v>
      </c>
    </row>
    <row r="60" spans="2:19" x14ac:dyDescent="0.2">
      <c r="B60" s="37" t="s">
        <v>108</v>
      </c>
      <c r="C60" s="1" t="s">
        <v>209</v>
      </c>
      <c r="D60" s="79" t="s">
        <v>210</v>
      </c>
      <c r="F60" s="96"/>
      <c r="G60" s="97"/>
      <c r="H60" s="97"/>
      <c r="I60" s="108"/>
      <c r="J60" s="108"/>
      <c r="K60" s="108"/>
      <c r="L60" s="108"/>
      <c r="M60" s="109"/>
      <c r="O60" s="87" t="s">
        <v>20</v>
      </c>
      <c r="P60" s="38" t="s">
        <v>20</v>
      </c>
      <c r="Q60" s="38" t="s">
        <v>20</v>
      </c>
      <c r="R60" s="38" t="str">
        <f>IF(ISBLANK(L60)," ",IF(L60&lt;=51,1,IF(L60&lt;=58,2,IF(L60&lt;=64,3,4))))</f>
        <v xml:space="preserve"> </v>
      </c>
      <c r="S60" s="39" t="s">
        <v>20</v>
      </c>
    </row>
    <row r="61" spans="2:19" x14ac:dyDescent="0.2">
      <c r="B61" s="42" t="s">
        <v>216</v>
      </c>
      <c r="C61" s="43" t="s">
        <v>211</v>
      </c>
      <c r="D61" s="81" t="s">
        <v>212</v>
      </c>
      <c r="F61" s="98"/>
      <c r="G61" s="99"/>
      <c r="H61" s="99"/>
      <c r="I61" s="114"/>
      <c r="J61" s="114"/>
      <c r="K61" s="114"/>
      <c r="L61" s="114"/>
      <c r="M61" s="115"/>
      <c r="O61" s="89" t="s">
        <v>20</v>
      </c>
      <c r="P61" s="44" t="s">
        <v>20</v>
      </c>
      <c r="Q61" s="44" t="s">
        <v>20</v>
      </c>
      <c r="R61" s="44" t="str">
        <f>IF(ISBLANK(L61)," ",IF(L61&lt;=4.5,1,IF(L61&lt;=6.4,2,IF(L61&lt;=9,3,4))))</f>
        <v xml:space="preserve"> </v>
      </c>
      <c r="S61" s="45" t="s">
        <v>20</v>
      </c>
    </row>
    <row r="62" spans="2:19" x14ac:dyDescent="0.2">
      <c r="B62" s="27" t="s">
        <v>187</v>
      </c>
      <c r="C62" s="46" t="s">
        <v>188</v>
      </c>
      <c r="D62" s="77" t="s">
        <v>190</v>
      </c>
      <c r="F62" s="93"/>
      <c r="G62" s="94"/>
      <c r="H62" s="94"/>
      <c r="I62" s="102"/>
      <c r="J62" s="102"/>
      <c r="K62" s="102"/>
      <c r="L62" s="102"/>
      <c r="M62" s="103"/>
      <c r="O62" s="85" t="s">
        <v>20</v>
      </c>
      <c r="P62" s="33" t="str">
        <f>IF(ISBLANK(J62)," ",IF(J62&lt;=1.8,1,IF(J62&lt;=2.2,2,IF(J62&lt;=3,3,4))))</f>
        <v xml:space="preserve"> </v>
      </c>
      <c r="Q62" s="33" t="s">
        <v>20</v>
      </c>
      <c r="R62" s="33" t="str">
        <f>IF(ISBLANK(L62)," ",IF(L62&lt;=4.6,1,IF(L62&lt;=5,2,IF(L62&lt;=6.8,3,4))))</f>
        <v xml:space="preserve"> </v>
      </c>
      <c r="S62" s="34" t="s">
        <v>20</v>
      </c>
    </row>
    <row r="63" spans="2:19" x14ac:dyDescent="0.2">
      <c r="B63" s="37" t="s">
        <v>187</v>
      </c>
      <c r="C63" s="28" t="s">
        <v>192</v>
      </c>
      <c r="D63" s="79" t="s">
        <v>195</v>
      </c>
      <c r="F63" s="22"/>
      <c r="G63" s="23"/>
      <c r="H63" s="23"/>
      <c r="I63" s="104"/>
      <c r="J63" s="104"/>
      <c r="K63" s="104"/>
      <c r="L63" s="104"/>
      <c r="M63" s="105"/>
      <c r="O63" s="87" t="s">
        <v>20</v>
      </c>
      <c r="P63" s="38" t="s">
        <v>20</v>
      </c>
      <c r="Q63" s="38" t="str">
        <f>IF(ISBLANK(K63)," ",IF(K63&lt;=24,1,IF(K63&lt;=58,2,IF(K63&lt;=58,3,4))))</f>
        <v xml:space="preserve"> </v>
      </c>
      <c r="R63" s="38" t="str">
        <f>IF(ISBLANK(L63)," ",IF(L63&lt;=41,1,IF(L63&lt;=55,2,IF(L63&lt;=60,3,4))))</f>
        <v xml:space="preserve"> </v>
      </c>
      <c r="S63" s="39" t="s">
        <v>20</v>
      </c>
    </row>
    <row r="64" spans="2:19" x14ac:dyDescent="0.2">
      <c r="B64" s="37" t="s">
        <v>187</v>
      </c>
      <c r="C64" s="28" t="s">
        <v>193</v>
      </c>
      <c r="D64" s="79" t="s">
        <v>194</v>
      </c>
      <c r="F64" s="22"/>
      <c r="G64" s="23"/>
      <c r="H64" s="23"/>
      <c r="I64" s="104"/>
      <c r="J64" s="104"/>
      <c r="K64" s="104"/>
      <c r="L64" s="104"/>
      <c r="M64" s="105"/>
      <c r="O64" s="87" t="s">
        <v>20</v>
      </c>
      <c r="P64" s="38" t="s">
        <v>20</v>
      </c>
      <c r="Q64" s="38" t="str">
        <f>IF(ISBLANK(K64)," ",IF(K64&lt;=15,1,IF(K64&lt;=16,2,IF(K64&lt;=18,3,4))))</f>
        <v xml:space="preserve"> </v>
      </c>
      <c r="R64" s="38" t="str">
        <f>IF(ISBLANK(L64)," ",IF(L64&lt;=8,1,IF(L64&lt;=9.6,2,IF(L64&lt;=12,3,4))))</f>
        <v xml:space="preserve"> </v>
      </c>
      <c r="S64" s="39" t="s">
        <v>20</v>
      </c>
    </row>
    <row r="65" spans="2:19" x14ac:dyDescent="0.2">
      <c r="B65" s="37" t="s">
        <v>187</v>
      </c>
      <c r="C65" s="28" t="s">
        <v>213</v>
      </c>
      <c r="D65" s="79" t="s">
        <v>214</v>
      </c>
      <c r="F65" s="22"/>
      <c r="G65" s="23"/>
      <c r="H65" s="23"/>
      <c r="I65" s="104"/>
      <c r="J65" s="104"/>
      <c r="K65" s="104"/>
      <c r="L65" s="104"/>
      <c r="M65" s="105"/>
      <c r="O65" s="87" t="s">
        <v>20</v>
      </c>
      <c r="P65" s="38" t="s">
        <v>20</v>
      </c>
      <c r="Q65" s="38" t="s">
        <v>20</v>
      </c>
      <c r="R65" s="38" t="str">
        <f>IF(ISBLANK(L65)," ",IF(L65&lt;=41,1,IF(L65&lt;=55,2,IF(L65&lt;=60,3,4))))</f>
        <v xml:space="preserve"> </v>
      </c>
      <c r="S65" s="39" t="s">
        <v>20</v>
      </c>
    </row>
    <row r="66" spans="2:19" x14ac:dyDescent="0.2">
      <c r="B66" s="8" t="s">
        <v>187</v>
      </c>
      <c r="C66" s="26" t="s">
        <v>189</v>
      </c>
      <c r="D66" s="76" t="s">
        <v>191</v>
      </c>
      <c r="F66" s="96"/>
      <c r="G66" s="97"/>
      <c r="H66" s="97"/>
      <c r="I66" s="108"/>
      <c r="J66" s="108"/>
      <c r="K66" s="108"/>
      <c r="L66" s="108"/>
      <c r="M66" s="109"/>
      <c r="O66" s="84" t="s">
        <v>20</v>
      </c>
      <c r="P66" s="18" t="str">
        <f>IF(ISBLANK(J66)," ",IF(J66&lt;=2,1,IF(J66&lt;=3,2,IF(J66&lt;=4.7,3,4))))</f>
        <v xml:space="preserve"> </v>
      </c>
      <c r="Q66" s="18" t="s">
        <v>20</v>
      </c>
      <c r="R66" s="18" t="s">
        <v>20</v>
      </c>
      <c r="S66" s="19" t="s">
        <v>20</v>
      </c>
    </row>
    <row r="67" spans="2:19" x14ac:dyDescent="0.2">
      <c r="B67" s="29" t="s">
        <v>119</v>
      </c>
      <c r="C67" s="30" t="s">
        <v>120</v>
      </c>
      <c r="D67" s="78" t="s">
        <v>126</v>
      </c>
      <c r="F67" s="20"/>
      <c r="G67" s="21"/>
      <c r="H67" s="21"/>
      <c r="I67" s="110"/>
      <c r="J67" s="110"/>
      <c r="K67" s="110"/>
      <c r="L67" s="110"/>
      <c r="M67" s="111"/>
      <c r="O67" s="86" t="str">
        <f>IF(ISBLANK(I67)," ",IF(I67&lt;=0.54,1,IF(I67&lt;=0.65,2,IF(I67&lt;=0.75,3,4))))</f>
        <v xml:space="preserve"> </v>
      </c>
      <c r="P67" s="35" t="s">
        <v>20</v>
      </c>
      <c r="Q67" s="35" t="s">
        <v>20</v>
      </c>
      <c r="R67" s="35" t="s">
        <v>20</v>
      </c>
      <c r="S67" s="36" t="s">
        <v>20</v>
      </c>
    </row>
    <row r="68" spans="2:19" x14ac:dyDescent="0.2">
      <c r="B68" s="7" t="s">
        <v>119</v>
      </c>
      <c r="C68" s="25" t="s">
        <v>121</v>
      </c>
      <c r="D68" s="75" t="s">
        <v>125</v>
      </c>
      <c r="F68" s="22"/>
      <c r="G68" s="23"/>
      <c r="H68" s="23"/>
      <c r="I68" s="104"/>
      <c r="J68" s="104"/>
      <c r="K68" s="104"/>
      <c r="L68" s="104"/>
      <c r="M68" s="105"/>
      <c r="O68" s="83" t="str">
        <f>IF(ISBLANK(I68)," ",IF(I68&lt;=0.54,1,IF(I68&lt;=0.65,2,IF(I68&lt;=0.75,3,4))))</f>
        <v xml:space="preserve"> </v>
      </c>
      <c r="P68" s="16" t="s">
        <v>20</v>
      </c>
      <c r="Q68" s="16" t="s">
        <v>20</v>
      </c>
      <c r="R68" s="16" t="s">
        <v>20</v>
      </c>
      <c r="S68" s="17" t="s">
        <v>20</v>
      </c>
    </row>
    <row r="69" spans="2:19" x14ac:dyDescent="0.2">
      <c r="B69" s="7" t="s">
        <v>119</v>
      </c>
      <c r="C69" s="25" t="s">
        <v>122</v>
      </c>
      <c r="D69" s="75" t="s">
        <v>127</v>
      </c>
      <c r="F69" s="22"/>
      <c r="G69" s="23"/>
      <c r="H69" s="23"/>
      <c r="I69" s="104"/>
      <c r="J69" s="104"/>
      <c r="K69" s="104"/>
      <c r="L69" s="104"/>
      <c r="M69" s="105"/>
      <c r="O69" s="83" t="str">
        <f>IF(ISBLANK(I69)," ",IF(I69&lt;=0.54,1,IF(I69&lt;=0.65,2,IF(I69&lt;=0.75,3,4))))</f>
        <v xml:space="preserve"> </v>
      </c>
      <c r="P69" s="16" t="s">
        <v>20</v>
      </c>
      <c r="Q69" s="16" t="s">
        <v>20</v>
      </c>
      <c r="R69" s="16" t="s">
        <v>20</v>
      </c>
      <c r="S69" s="17" t="s">
        <v>20</v>
      </c>
    </row>
    <row r="70" spans="2:19" x14ac:dyDescent="0.2">
      <c r="B70" s="7" t="s">
        <v>119</v>
      </c>
      <c r="C70" s="25" t="s">
        <v>123</v>
      </c>
      <c r="D70" s="75" t="s">
        <v>128</v>
      </c>
      <c r="F70" s="22"/>
      <c r="G70" s="23"/>
      <c r="H70" s="23"/>
      <c r="I70" s="104"/>
      <c r="J70" s="104"/>
      <c r="K70" s="104"/>
      <c r="L70" s="104"/>
      <c r="M70" s="105"/>
      <c r="O70" s="83" t="str">
        <f>IF(ISBLANK(I70)," ",IF(I70&lt;=0.54,1,IF(I70&lt;=0.65,2,IF(I70&lt;=0.75,3,4))))</f>
        <v xml:space="preserve"> </v>
      </c>
      <c r="P70" s="16" t="s">
        <v>20</v>
      </c>
      <c r="Q70" s="16" t="s">
        <v>20</v>
      </c>
      <c r="R70" s="16" t="s">
        <v>20</v>
      </c>
      <c r="S70" s="17" t="s">
        <v>20</v>
      </c>
    </row>
    <row r="71" spans="2:19" x14ac:dyDescent="0.2">
      <c r="B71" s="37" t="s">
        <v>119</v>
      </c>
      <c r="C71" s="28" t="s">
        <v>124</v>
      </c>
      <c r="D71" s="79" t="s">
        <v>129</v>
      </c>
      <c r="F71" s="47"/>
      <c r="G71" s="48"/>
      <c r="H71" s="48"/>
      <c r="I71" s="106"/>
      <c r="J71" s="106"/>
      <c r="K71" s="106"/>
      <c r="L71" s="106"/>
      <c r="M71" s="107"/>
      <c r="O71" s="87" t="str">
        <f>IF(ISBLANK(I71)," ",IF(I71&lt;=0.84,1,IF(I701&lt;=0.94,2,IF(I71&lt;=1,3,4))))</f>
        <v xml:space="preserve"> </v>
      </c>
      <c r="P71" s="38" t="s">
        <v>20</v>
      </c>
      <c r="Q71" s="38" t="s">
        <v>20</v>
      </c>
      <c r="R71" s="38" t="s">
        <v>20</v>
      </c>
      <c r="S71" s="39" t="s">
        <v>20</v>
      </c>
    </row>
    <row r="72" spans="2:19" x14ac:dyDescent="0.2">
      <c r="B72" s="29" t="s">
        <v>130</v>
      </c>
      <c r="C72" s="30" t="s">
        <v>131</v>
      </c>
      <c r="D72" s="78" t="s">
        <v>136</v>
      </c>
      <c r="F72" s="93"/>
      <c r="G72" s="94"/>
      <c r="H72" s="94"/>
      <c r="I72" s="102"/>
      <c r="J72" s="102"/>
      <c r="K72" s="102"/>
      <c r="L72" s="102"/>
      <c r="M72" s="103"/>
      <c r="O72" s="86" t="str">
        <f>IF(ISBLANK(I72)," ",IF(I72&lt;=0.87,1,IF(I72&lt;=1,2,IF(I72&lt;=1.2,3,4))))</f>
        <v xml:space="preserve"> </v>
      </c>
      <c r="P72" s="35" t="s">
        <v>20</v>
      </c>
      <c r="Q72" s="35" t="s">
        <v>20</v>
      </c>
      <c r="R72" s="35" t="s">
        <v>20</v>
      </c>
      <c r="S72" s="36" t="s">
        <v>20</v>
      </c>
    </row>
    <row r="73" spans="2:19" x14ac:dyDescent="0.2">
      <c r="B73" s="7" t="s">
        <v>130</v>
      </c>
      <c r="C73" s="25" t="s">
        <v>132</v>
      </c>
      <c r="D73" s="75" t="s">
        <v>137</v>
      </c>
      <c r="F73" s="22"/>
      <c r="G73" s="23"/>
      <c r="H73" s="23"/>
      <c r="I73" s="104"/>
      <c r="J73" s="104"/>
      <c r="K73" s="104"/>
      <c r="L73" s="104"/>
      <c r="M73" s="105"/>
      <c r="O73" s="83" t="str">
        <f>IF(ISBLANK(I73)," ",IF(I73&lt;=0.87,1,IF(I73&lt;=1,2,IF(I73&lt;=1.2,3,4))))</f>
        <v xml:space="preserve"> </v>
      </c>
      <c r="P73" s="16" t="s">
        <v>20</v>
      </c>
      <c r="Q73" s="16" t="s">
        <v>20</v>
      </c>
      <c r="R73" s="16" t="s">
        <v>20</v>
      </c>
      <c r="S73" s="17" t="s">
        <v>20</v>
      </c>
    </row>
    <row r="74" spans="2:19" x14ac:dyDescent="0.2">
      <c r="B74" s="7" t="s">
        <v>130</v>
      </c>
      <c r="C74" s="25" t="s">
        <v>133</v>
      </c>
      <c r="D74" s="75" t="s">
        <v>138</v>
      </c>
      <c r="F74" s="22"/>
      <c r="G74" s="23"/>
      <c r="H74" s="23"/>
      <c r="I74" s="104"/>
      <c r="J74" s="104"/>
      <c r="K74" s="104"/>
      <c r="L74" s="104"/>
      <c r="M74" s="105"/>
      <c r="O74" s="83" t="str">
        <f>IF(ISBLANK(I74)," ",IF(I74&lt;=0.87,1,IF(I74&lt;=1,2,IF(I74&lt;=1.2,3,4))))</f>
        <v xml:space="preserve"> </v>
      </c>
      <c r="P74" s="16" t="s">
        <v>20</v>
      </c>
      <c r="Q74" s="16" t="s">
        <v>20</v>
      </c>
      <c r="R74" s="16" t="s">
        <v>20</v>
      </c>
      <c r="S74" s="17" t="s">
        <v>20</v>
      </c>
    </row>
    <row r="75" spans="2:19" x14ac:dyDescent="0.2">
      <c r="B75" s="7" t="s">
        <v>130</v>
      </c>
      <c r="C75" s="25" t="s">
        <v>134</v>
      </c>
      <c r="D75" s="75" t="s">
        <v>139</v>
      </c>
      <c r="F75" s="22"/>
      <c r="G75" s="23"/>
      <c r="H75" s="23"/>
      <c r="I75" s="104"/>
      <c r="J75" s="104"/>
      <c r="K75" s="104"/>
      <c r="L75" s="104"/>
      <c r="M75" s="105"/>
      <c r="O75" s="83" t="str">
        <f>IF(ISBLANK(I75)," ",IF(I75&lt;=0.45,1,IF(I75&lt;=0.53,2,IF(I75&lt;=1,3,4))))</f>
        <v xml:space="preserve"> </v>
      </c>
      <c r="P75" s="16" t="s">
        <v>20</v>
      </c>
      <c r="Q75" s="16" t="s">
        <v>20</v>
      </c>
      <c r="R75" s="16" t="s">
        <v>20</v>
      </c>
      <c r="S75" s="17" t="s">
        <v>20</v>
      </c>
    </row>
    <row r="76" spans="2:19" x14ac:dyDescent="0.2">
      <c r="B76" s="37" t="s">
        <v>130</v>
      </c>
      <c r="C76" s="28" t="s">
        <v>135</v>
      </c>
      <c r="D76" s="79" t="s">
        <v>140</v>
      </c>
      <c r="F76" s="96"/>
      <c r="G76" s="97"/>
      <c r="H76" s="97"/>
      <c r="I76" s="108"/>
      <c r="J76" s="108"/>
      <c r="K76" s="108"/>
      <c r="L76" s="108"/>
      <c r="M76" s="109"/>
      <c r="O76" s="87" t="str">
        <f>IF(ISBLANK(I76)," ",IF(I76&lt;=0.39,1,IF(I76&lt;=0.5,2,IF(I76&lt;=0.62,3,4))))</f>
        <v xml:space="preserve"> </v>
      </c>
      <c r="P76" s="38" t="s">
        <v>20</v>
      </c>
      <c r="Q76" s="38" t="s">
        <v>20</v>
      </c>
      <c r="R76" s="38" t="s">
        <v>20</v>
      </c>
      <c r="S76" s="39" t="s">
        <v>20</v>
      </c>
    </row>
    <row r="77" spans="2:19" x14ac:dyDescent="0.2">
      <c r="B77" s="29" t="s">
        <v>141</v>
      </c>
      <c r="C77" s="30" t="s">
        <v>142</v>
      </c>
      <c r="D77" s="78" t="s">
        <v>146</v>
      </c>
      <c r="F77" s="20"/>
      <c r="G77" s="21"/>
      <c r="H77" s="21"/>
      <c r="I77" s="110"/>
      <c r="J77" s="110"/>
      <c r="K77" s="110"/>
      <c r="L77" s="110"/>
      <c r="M77" s="111"/>
      <c r="O77" s="86" t="str">
        <f>IF(ISBLANK(I77)," ",IF(I77&lt;=0.5,1,IF(I77&lt;=0.68,2,IF(I77&lt;=0.83,3,4))))</f>
        <v xml:space="preserve"> </v>
      </c>
      <c r="P77" s="35" t="s">
        <v>20</v>
      </c>
      <c r="Q77" s="35" t="s">
        <v>20</v>
      </c>
      <c r="R77" s="35" t="s">
        <v>20</v>
      </c>
      <c r="S77" s="36" t="s">
        <v>20</v>
      </c>
    </row>
    <row r="78" spans="2:19" x14ac:dyDescent="0.2">
      <c r="B78" s="7" t="s">
        <v>141</v>
      </c>
      <c r="C78" s="25" t="s">
        <v>143</v>
      </c>
      <c r="D78" s="75" t="s">
        <v>147</v>
      </c>
      <c r="F78" s="22"/>
      <c r="G78" s="23"/>
      <c r="H78" s="23"/>
      <c r="I78" s="104"/>
      <c r="J78" s="104"/>
      <c r="K78" s="104"/>
      <c r="L78" s="104"/>
      <c r="M78" s="105"/>
      <c r="O78" s="83" t="str">
        <f>IF(ISBLANK(I78)," ",IF(I78&lt;=0.5,1,IF(I78&lt;=0.68,2,IF(I78&lt;=0.83,3,4))))</f>
        <v xml:space="preserve"> </v>
      </c>
      <c r="P78" s="16" t="s">
        <v>20</v>
      </c>
      <c r="Q78" s="16" t="s">
        <v>20</v>
      </c>
      <c r="R78" s="16" t="s">
        <v>20</v>
      </c>
      <c r="S78" s="17" t="s">
        <v>20</v>
      </c>
    </row>
    <row r="79" spans="2:19" x14ac:dyDescent="0.2">
      <c r="B79" s="7" t="s">
        <v>141</v>
      </c>
      <c r="C79" s="25" t="s">
        <v>144</v>
      </c>
      <c r="D79" s="75" t="s">
        <v>148</v>
      </c>
      <c r="F79" s="22"/>
      <c r="G79" s="23"/>
      <c r="H79" s="23"/>
      <c r="I79" s="104"/>
      <c r="J79" s="104"/>
      <c r="K79" s="104"/>
      <c r="L79" s="104"/>
      <c r="M79" s="105"/>
      <c r="O79" s="83" t="str">
        <f>IF(ISBLANK(I79)," ",IF(I79&lt;=0.86,1,IF(I79&lt;=0.94,2,IF(I79&lt;=1,3,4))))</f>
        <v xml:space="preserve"> </v>
      </c>
      <c r="P79" s="16" t="s">
        <v>20</v>
      </c>
      <c r="Q79" s="16" t="s">
        <v>20</v>
      </c>
      <c r="R79" s="16" t="s">
        <v>20</v>
      </c>
      <c r="S79" s="17" t="s">
        <v>20</v>
      </c>
    </row>
    <row r="80" spans="2:19" x14ac:dyDescent="0.2">
      <c r="B80" s="7" t="s">
        <v>141</v>
      </c>
      <c r="C80" s="25" t="s">
        <v>145</v>
      </c>
      <c r="D80" s="75" t="s">
        <v>149</v>
      </c>
      <c r="F80" s="22"/>
      <c r="G80" s="23"/>
      <c r="H80" s="23"/>
      <c r="I80" s="104"/>
      <c r="J80" s="104"/>
      <c r="K80" s="104"/>
      <c r="L80" s="104"/>
      <c r="M80" s="105"/>
      <c r="O80" s="83" t="str">
        <f>IF(ISBLANK(I80)," ",IF(I80&lt;=0.96,1,IF(I80&lt;=1.1,2,IF(I80&lt;=1.3,3,4))))</f>
        <v xml:space="preserve"> </v>
      </c>
      <c r="P80" s="16" t="s">
        <v>20</v>
      </c>
      <c r="Q80" s="16" t="s">
        <v>20</v>
      </c>
      <c r="R80" s="16" t="s">
        <v>20</v>
      </c>
      <c r="S80" s="17" t="s">
        <v>20</v>
      </c>
    </row>
    <row r="81" spans="2:19" x14ac:dyDescent="0.2">
      <c r="B81" s="37" t="s">
        <v>141</v>
      </c>
      <c r="C81" s="28" t="s">
        <v>150</v>
      </c>
      <c r="D81" s="79" t="s">
        <v>151</v>
      </c>
      <c r="F81" s="47"/>
      <c r="G81" s="48"/>
      <c r="H81" s="48"/>
      <c r="I81" s="106"/>
      <c r="J81" s="106"/>
      <c r="K81" s="106"/>
      <c r="L81" s="106"/>
      <c r="M81" s="107"/>
      <c r="O81" s="87" t="str">
        <f>IF(ISBLANK(I81)," ",IF(I81&lt;=0.5,1,IF(I81&lt;=0.68,2,IF(I81&lt;=0.83,3,4))))</f>
        <v xml:space="preserve"> </v>
      </c>
      <c r="P81" s="38" t="s">
        <v>20</v>
      </c>
      <c r="Q81" s="38" t="s">
        <v>20</v>
      </c>
      <c r="R81" s="38" t="s">
        <v>20</v>
      </c>
      <c r="S81" s="39" t="s">
        <v>20</v>
      </c>
    </row>
    <row r="82" spans="2:19" x14ac:dyDescent="0.2">
      <c r="B82" s="29" t="s">
        <v>152</v>
      </c>
      <c r="C82" s="30" t="s">
        <v>153</v>
      </c>
      <c r="D82" s="78" t="s">
        <v>158</v>
      </c>
      <c r="F82" s="93"/>
      <c r="G82" s="94"/>
      <c r="H82" s="94"/>
      <c r="I82" s="102"/>
      <c r="J82" s="102"/>
      <c r="K82" s="102"/>
      <c r="L82" s="102"/>
      <c r="M82" s="103"/>
      <c r="O82" s="86" t="str">
        <f>IF(ISBLANK(I82)," ",IF(I82&lt;=0.45,1,IF(I82&lt;=0.58,2,IF(I82&lt;=0.68,3,4))))</f>
        <v xml:space="preserve"> </v>
      </c>
      <c r="P82" s="35" t="s">
        <v>20</v>
      </c>
      <c r="Q82" s="35" t="s">
        <v>20</v>
      </c>
      <c r="R82" s="35" t="s">
        <v>20</v>
      </c>
      <c r="S82" s="36" t="s">
        <v>20</v>
      </c>
    </row>
    <row r="83" spans="2:19" x14ac:dyDescent="0.2">
      <c r="B83" s="7" t="s">
        <v>152</v>
      </c>
      <c r="C83" s="25" t="s">
        <v>154</v>
      </c>
      <c r="D83" s="75" t="s">
        <v>159</v>
      </c>
      <c r="F83" s="22"/>
      <c r="G83" s="23"/>
      <c r="H83" s="23"/>
      <c r="I83" s="104"/>
      <c r="J83" s="104"/>
      <c r="K83" s="104"/>
      <c r="L83" s="104"/>
      <c r="M83" s="105"/>
      <c r="O83" s="83" t="str">
        <f>IF(ISBLANK(I83)," ",IF(I83&lt;=0.45,1,IF(I83&lt;=0.58,2,IF(I83&lt;=0.68,3,4))))</f>
        <v xml:space="preserve"> </v>
      </c>
      <c r="P83" s="16" t="s">
        <v>20</v>
      </c>
      <c r="Q83" s="16" t="s">
        <v>20</v>
      </c>
      <c r="R83" s="16" t="s">
        <v>20</v>
      </c>
      <c r="S83" s="17" t="s">
        <v>20</v>
      </c>
    </row>
    <row r="84" spans="2:19" x14ac:dyDescent="0.2">
      <c r="B84" s="7" t="s">
        <v>152</v>
      </c>
      <c r="C84" s="25" t="s">
        <v>155</v>
      </c>
      <c r="D84" s="75" t="s">
        <v>160</v>
      </c>
      <c r="F84" s="22"/>
      <c r="G84" s="23"/>
      <c r="H84" s="23"/>
      <c r="I84" s="104"/>
      <c r="J84" s="104"/>
      <c r="K84" s="104"/>
      <c r="L84" s="104"/>
      <c r="M84" s="105"/>
      <c r="O84" s="83" t="str">
        <f>IF(ISBLANK(I84)," ",IF(I84&lt;=0.82,1,IF(I84&lt;=0.95,2,IF(I84&lt;=0.98,3,4))))</f>
        <v xml:space="preserve"> </v>
      </c>
      <c r="P84" s="16" t="s">
        <v>20</v>
      </c>
      <c r="Q84" s="16" t="s">
        <v>20</v>
      </c>
      <c r="R84" s="16" t="s">
        <v>20</v>
      </c>
      <c r="S84" s="17" t="s">
        <v>20</v>
      </c>
    </row>
    <row r="85" spans="2:19" x14ac:dyDescent="0.2">
      <c r="B85" s="7" t="s">
        <v>152</v>
      </c>
      <c r="C85" s="25" t="s">
        <v>156</v>
      </c>
      <c r="D85" s="75" t="s">
        <v>161</v>
      </c>
      <c r="F85" s="22"/>
      <c r="G85" s="23"/>
      <c r="H85" s="23"/>
      <c r="I85" s="104"/>
      <c r="J85" s="104"/>
      <c r="K85" s="104"/>
      <c r="L85" s="104"/>
      <c r="M85" s="105"/>
      <c r="O85" s="83" t="str">
        <f>IF(ISBLANK(I85)," ",IF(I85&lt;=0.63,1,IF(I85&lt;=0.8,2,IF(I85&lt;=0.85,3,4))))</f>
        <v xml:space="preserve"> </v>
      </c>
      <c r="P85" s="16" t="s">
        <v>20</v>
      </c>
      <c r="Q85" s="16" t="s">
        <v>20</v>
      </c>
      <c r="R85" s="16" t="s">
        <v>20</v>
      </c>
      <c r="S85" s="17" t="s">
        <v>20</v>
      </c>
    </row>
    <row r="86" spans="2:19" x14ac:dyDescent="0.2">
      <c r="B86" s="37" t="s">
        <v>152</v>
      </c>
      <c r="C86" s="28" t="s">
        <v>157</v>
      </c>
      <c r="D86" s="79" t="s">
        <v>162</v>
      </c>
      <c r="F86" s="96"/>
      <c r="G86" s="97"/>
      <c r="H86" s="97"/>
      <c r="I86" s="108"/>
      <c r="J86" s="108"/>
      <c r="K86" s="108"/>
      <c r="L86" s="108"/>
      <c r="M86" s="109"/>
      <c r="O86" s="87" t="str">
        <f>IF(ISBLANK(I86)," ",IF(I86&lt;=0.74,1,IF(I86&lt;=0.83,2,IF(I86&lt;=0.89,3,4))))</f>
        <v xml:space="preserve"> </v>
      </c>
      <c r="P86" s="38" t="s">
        <v>20</v>
      </c>
      <c r="Q86" s="38" t="s">
        <v>20</v>
      </c>
      <c r="R86" s="38" t="s">
        <v>20</v>
      </c>
      <c r="S86" s="39" t="s">
        <v>20</v>
      </c>
    </row>
    <row r="87" spans="2:19" x14ac:dyDescent="0.2">
      <c r="B87" s="29" t="s">
        <v>163</v>
      </c>
      <c r="C87" s="30" t="s">
        <v>164</v>
      </c>
      <c r="D87" s="78" t="s">
        <v>172</v>
      </c>
      <c r="F87" s="20"/>
      <c r="G87" s="21"/>
      <c r="H87" s="21"/>
      <c r="I87" s="110"/>
      <c r="J87" s="110"/>
      <c r="K87" s="110"/>
      <c r="L87" s="110"/>
      <c r="M87" s="111"/>
      <c r="O87" s="86" t="str">
        <f>IF(ISBLANK(I87)," ",IF(I87&lt;=0.91,1,IF(I87&lt;=1,2,IF(I87&lt;=1.2,3,4))))</f>
        <v xml:space="preserve"> </v>
      </c>
      <c r="P87" s="35" t="s">
        <v>20</v>
      </c>
      <c r="Q87" s="35" t="s">
        <v>20</v>
      </c>
      <c r="R87" s="35" t="s">
        <v>20</v>
      </c>
      <c r="S87" s="36" t="s">
        <v>20</v>
      </c>
    </row>
    <row r="88" spans="2:19" x14ac:dyDescent="0.2">
      <c r="B88" s="7" t="s">
        <v>163</v>
      </c>
      <c r="C88" s="25" t="s">
        <v>165</v>
      </c>
      <c r="D88" s="75" t="s">
        <v>173</v>
      </c>
      <c r="F88" s="22"/>
      <c r="G88" s="23"/>
      <c r="H88" s="23"/>
      <c r="I88" s="104"/>
      <c r="J88" s="104"/>
      <c r="K88" s="104"/>
      <c r="L88" s="104"/>
      <c r="M88" s="105"/>
      <c r="O88" s="83" t="str">
        <f>IF(ISBLANK(I88)," ",IF(I88&lt;=0.91,1,IF(I88&lt;=1,2,IF(I88&lt;=1.2,3,4))))</f>
        <v xml:space="preserve"> </v>
      </c>
      <c r="P88" s="16" t="s">
        <v>20</v>
      </c>
      <c r="Q88" s="16" t="s">
        <v>20</v>
      </c>
      <c r="R88" s="16" t="s">
        <v>20</v>
      </c>
      <c r="S88" s="17" t="s">
        <v>20</v>
      </c>
    </row>
    <row r="89" spans="2:19" x14ac:dyDescent="0.2">
      <c r="B89" s="7" t="s">
        <v>163</v>
      </c>
      <c r="C89" s="25" t="s">
        <v>166</v>
      </c>
      <c r="D89" s="75" t="s">
        <v>174</v>
      </c>
      <c r="F89" s="22"/>
      <c r="G89" s="23"/>
      <c r="H89" s="23"/>
      <c r="I89" s="104"/>
      <c r="J89" s="104"/>
      <c r="K89" s="104"/>
      <c r="L89" s="104"/>
      <c r="M89" s="105"/>
      <c r="O89" s="83" t="str">
        <f>IF(ISBLANK(I89)," ",IF(I89&lt;=0.91,1,IF(I89&lt;=1,2,IF(I89&lt;=1.2,3,4))))</f>
        <v xml:space="preserve"> </v>
      </c>
      <c r="P89" s="16" t="s">
        <v>20</v>
      </c>
      <c r="Q89" s="16" t="s">
        <v>20</v>
      </c>
      <c r="R89" s="16" t="s">
        <v>20</v>
      </c>
      <c r="S89" s="17" t="s">
        <v>20</v>
      </c>
    </row>
    <row r="90" spans="2:19" x14ac:dyDescent="0.2">
      <c r="B90" s="7" t="s">
        <v>163</v>
      </c>
      <c r="C90" s="25" t="s">
        <v>167</v>
      </c>
      <c r="D90" s="75" t="s">
        <v>175</v>
      </c>
      <c r="F90" s="22"/>
      <c r="G90" s="23"/>
      <c r="H90" s="23"/>
      <c r="I90" s="104"/>
      <c r="J90" s="104"/>
      <c r="K90" s="104"/>
      <c r="L90" s="104"/>
      <c r="M90" s="105"/>
      <c r="O90" s="83" t="str">
        <f>IF(ISBLANK(I90)," ",IF(I90&lt;=0.91,1,IF(I90&lt;=1,2,IF(I90&lt;=1.2,3,4))))</f>
        <v xml:space="preserve"> </v>
      </c>
      <c r="P90" s="16" t="s">
        <v>20</v>
      </c>
      <c r="Q90" s="16" t="s">
        <v>20</v>
      </c>
      <c r="R90" s="16" t="s">
        <v>20</v>
      </c>
      <c r="S90" s="17" t="s">
        <v>20</v>
      </c>
    </row>
    <row r="91" spans="2:19" x14ac:dyDescent="0.2">
      <c r="B91" s="7" t="s">
        <v>163</v>
      </c>
      <c r="C91" s="25" t="s">
        <v>168</v>
      </c>
      <c r="D91" s="75" t="s">
        <v>176</v>
      </c>
      <c r="F91" s="22"/>
      <c r="G91" s="23"/>
      <c r="H91" s="23"/>
      <c r="I91" s="104"/>
      <c r="J91" s="104"/>
      <c r="K91" s="104"/>
      <c r="L91" s="104"/>
      <c r="M91" s="105"/>
      <c r="O91" s="83" t="str">
        <f>IF(ISBLANK(I91)," ",IF(I91&lt;=0.91,1,IF(I91&lt;=1,2,IF(I91&lt;=1.2,3,4))))</f>
        <v xml:space="preserve"> </v>
      </c>
      <c r="P91" s="16" t="s">
        <v>20</v>
      </c>
      <c r="Q91" s="16" t="s">
        <v>20</v>
      </c>
      <c r="R91" s="16" t="s">
        <v>20</v>
      </c>
      <c r="S91" s="17" t="s">
        <v>20</v>
      </c>
    </row>
    <row r="92" spans="2:19" x14ac:dyDescent="0.2">
      <c r="B92" s="7" t="s">
        <v>163</v>
      </c>
      <c r="C92" s="25" t="s">
        <v>169</v>
      </c>
      <c r="D92" s="75" t="s">
        <v>177</v>
      </c>
      <c r="F92" s="22"/>
      <c r="G92" s="23"/>
      <c r="H92" s="23"/>
      <c r="I92" s="104"/>
      <c r="J92" s="104"/>
      <c r="K92" s="104"/>
      <c r="L92" s="104"/>
      <c r="M92" s="105"/>
      <c r="O92" s="83" t="str">
        <f>IF(ISBLANK(I92)," ",IF(I92&lt;=0.9,1,IF(I92&lt;=1.1,2,IF(I92&lt;=1.5,3,4))))</f>
        <v xml:space="preserve"> </v>
      </c>
      <c r="P92" s="16" t="s">
        <v>20</v>
      </c>
      <c r="Q92" s="16" t="s">
        <v>20</v>
      </c>
      <c r="R92" s="16" t="s">
        <v>20</v>
      </c>
      <c r="S92" s="17" t="s">
        <v>20</v>
      </c>
    </row>
    <row r="93" spans="2:19" x14ac:dyDescent="0.2">
      <c r="B93" s="7" t="s">
        <v>163</v>
      </c>
      <c r="C93" s="25" t="s">
        <v>170</v>
      </c>
      <c r="D93" s="75" t="s">
        <v>178</v>
      </c>
      <c r="F93" s="22"/>
      <c r="G93" s="23"/>
      <c r="H93" s="23"/>
      <c r="I93" s="104"/>
      <c r="J93" s="104"/>
      <c r="K93" s="104"/>
      <c r="L93" s="104"/>
      <c r="M93" s="105"/>
      <c r="O93" s="83" t="str">
        <f>IF(ISBLANK(I93)," ",IF(I93&lt;=0.91,1,IF(I93&lt;=1,2,IF(I93&lt;=1.2,3,4))))</f>
        <v xml:space="preserve"> </v>
      </c>
      <c r="P93" s="16" t="s">
        <v>20</v>
      </c>
      <c r="Q93" s="16" t="s">
        <v>20</v>
      </c>
      <c r="R93" s="16" t="s">
        <v>20</v>
      </c>
      <c r="S93" s="17" t="s">
        <v>20</v>
      </c>
    </row>
    <row r="94" spans="2:19" x14ac:dyDescent="0.2">
      <c r="B94" s="37" t="s">
        <v>163</v>
      </c>
      <c r="C94" s="28" t="s">
        <v>171</v>
      </c>
      <c r="D94" s="76" t="s">
        <v>179</v>
      </c>
      <c r="F94" s="47"/>
      <c r="G94" s="48"/>
      <c r="H94" s="48"/>
      <c r="I94" s="106"/>
      <c r="J94" s="106"/>
      <c r="K94" s="106"/>
      <c r="L94" s="106"/>
      <c r="M94" s="107"/>
      <c r="O94" s="84" t="str">
        <f>IF(ISBLANK(I94)," ",IF(I94&lt;=0.91,1,IF(I94&lt;=1,2,IF(I94&lt;=1.2,3,4))))</f>
        <v xml:space="preserve"> </v>
      </c>
      <c r="P94" s="18" t="s">
        <v>20</v>
      </c>
      <c r="Q94" s="18" t="s">
        <v>20</v>
      </c>
      <c r="R94" s="18" t="s">
        <v>20</v>
      </c>
      <c r="S94" s="19" t="s">
        <v>20</v>
      </c>
    </row>
    <row r="95" spans="2:19" x14ac:dyDescent="0.2">
      <c r="B95" s="49"/>
      <c r="C95" s="49"/>
      <c r="D95" s="49"/>
      <c r="F95" s="49"/>
      <c r="G95" s="49"/>
      <c r="H95" s="49"/>
      <c r="I95" s="50"/>
      <c r="J95" s="50"/>
      <c r="K95" s="50"/>
      <c r="L95" s="50"/>
      <c r="M95" s="50"/>
      <c r="O95" s="49"/>
      <c r="P95" s="49"/>
      <c r="Q95" s="49"/>
      <c r="R95" s="49"/>
      <c r="S95" s="49"/>
    </row>
  </sheetData>
  <mergeCells count="3">
    <mergeCell ref="F3:H3"/>
    <mergeCell ref="I3:M3"/>
    <mergeCell ref="O3:S3"/>
  </mergeCells>
  <phoneticPr fontId="6" type="noConversion"/>
  <conditionalFormatting sqref="S7:S12">
    <cfRule type="cellIs" dxfId="11" priority="8" operator="equal">
      <formula>3</formula>
    </cfRule>
    <cfRule type="cellIs" dxfId="10" priority="7" operator="equal">
      <formula>1</formula>
    </cfRule>
    <cfRule type="cellIs" dxfId="9" priority="6" operator="equal">
      <formula>2</formula>
    </cfRule>
    <cfRule type="cellIs" dxfId="8" priority="5" operator="equal">
      <formula>4</formula>
    </cfRule>
  </conditionalFormatting>
  <conditionalFormatting sqref="O5:R94">
    <cfRule type="cellIs" dxfId="7" priority="9" operator="equal">
      <formula>1</formula>
    </cfRule>
    <cfRule type="cellIs" dxfId="6" priority="10" operator="equal">
      <formula>2</formula>
    </cfRule>
    <cfRule type="cellIs" dxfId="5" priority="11" operator="equal">
      <formula>3</formula>
    </cfRule>
    <cfRule type="cellIs" dxfId="4" priority="12" operator="equal">
      <formula>4</formula>
    </cfRule>
  </conditionalFormatting>
  <conditionalFormatting sqref="S5:S12">
    <cfRule type="cellIs" dxfId="3" priority="4" operator="equal">
      <formula>4</formula>
    </cfRule>
    <cfRule type="cellIs" dxfId="2" priority="3" operator="equal">
      <formula>2</formula>
    </cfRule>
    <cfRule type="cellIs" dxfId="1" priority="2" operator="equal">
      <formula>3</formula>
    </cfRule>
    <cfRule type="cellIs" dxfId="0" priority="1" operator="equal">
      <formula>1</formula>
    </cfRule>
  </conditionalFormatting>
  <pageMargins left="0.7" right="0.7" top="0.75" bottom="0.75" header="0.3" footer="0.3"/>
  <pageSetup orientation="portrait" horizontalDpi="1200" verticalDpi="1200" r:id="rId1"/>
  <ignoredErrors>
    <ignoredError sqref="O92 R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Instructies</vt:lpstr>
      <vt:lpstr>NAPV-tool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Eveline Martens</dc:creator>
  <cp:lastModifiedBy>Eveline Martens</cp:lastModifiedBy>
  <dcterms:created xsi:type="dcterms:W3CDTF">2024-07-30T10:10:09Z</dcterms:created>
  <dcterms:modified xsi:type="dcterms:W3CDTF">2024-12-16T09:00:27Z</dcterms:modified>
</cp:coreProperties>
</file>